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ron\Dropbox (Wall Street Prep)\Aaron Personal - to be organized\Wall Street Prep\Real Estate Financial Modeling\Marketing\Articles\Freebie Examples\"/>
    </mc:Choice>
  </mc:AlternateContent>
  <xr:revisionPtr revIDLastSave="0" documentId="13_ncr:1_{9561140A-CC47-40CF-B76F-EDE8BD429EF4}" xr6:coauthVersionLast="45" xr6:coauthVersionMax="45" xr10:uidLastSave="{00000000-0000-0000-0000-000000000000}"/>
  <bookViews>
    <workbookView xWindow="-110" yWindow="-110" windowWidth="19420" windowHeight="10420" xr2:uid="{9E3509BD-3318-41FC-A1AF-A88551BDFB1E}"/>
  </bookViews>
  <sheets>
    <sheet name="Empty" sheetId="2" r:id="rId1"/>
    <sheet name="Complete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0" i="1" l="1"/>
  <c r="H70" i="1"/>
  <c r="G71" i="1"/>
  <c r="H71" i="1"/>
  <c r="L8" i="1"/>
  <c r="G42" i="2" l="1"/>
  <c r="H42" i="2" s="1"/>
  <c r="I42" i="2" s="1"/>
  <c r="J42" i="2" s="1"/>
  <c r="K42" i="2" s="1"/>
  <c r="L42" i="2" s="1"/>
  <c r="H41" i="2"/>
  <c r="I41" i="2" s="1"/>
  <c r="J41" i="2" s="1"/>
  <c r="K41" i="2" s="1"/>
  <c r="L41" i="2" s="1"/>
  <c r="G41" i="2"/>
  <c r="D13" i="1"/>
  <c r="F45" i="1" l="1"/>
  <c r="H35" i="1"/>
  <c r="H45" i="1" s="1"/>
  <c r="H44" i="1" s="1"/>
  <c r="I35" i="1"/>
  <c r="I45" i="1" s="1"/>
  <c r="I44" i="1" s="1"/>
  <c r="J35" i="1"/>
  <c r="J45" i="1" s="1"/>
  <c r="J44" i="1" s="1"/>
  <c r="K35" i="1"/>
  <c r="K45" i="1" s="1"/>
  <c r="K44" i="1" s="1"/>
  <c r="L35" i="1"/>
  <c r="L45" i="1" s="1"/>
  <c r="L44" i="1" s="1"/>
  <c r="G35" i="1"/>
  <c r="G45" i="1" s="1"/>
  <c r="G44" i="1" s="1"/>
  <c r="E119" i="1"/>
  <c r="D21" i="1"/>
  <c r="F91" i="1"/>
  <c r="F89" i="1"/>
  <c r="L109" i="1" s="1"/>
  <c r="H86" i="1"/>
  <c r="I86" i="1"/>
  <c r="J86" i="1"/>
  <c r="K86" i="1"/>
  <c r="G86" i="1"/>
  <c r="F74" i="1"/>
  <c r="F76" i="1" s="1"/>
  <c r="F78" i="1" s="1"/>
  <c r="I70" i="1"/>
  <c r="J70" i="1"/>
  <c r="K70" i="1"/>
  <c r="I71" i="1"/>
  <c r="J71" i="1"/>
  <c r="K71" i="1"/>
  <c r="G62" i="1"/>
  <c r="H62" i="1" s="1"/>
  <c r="G63" i="1"/>
  <c r="H63" i="1" s="1"/>
  <c r="G64" i="1"/>
  <c r="H64" i="1" s="1"/>
  <c r="G65" i="1"/>
  <c r="H65" i="1" s="1"/>
  <c r="G61" i="1"/>
  <c r="H61" i="1" s="1"/>
  <c r="G57" i="1"/>
  <c r="H57" i="1" s="1"/>
  <c r="I33" i="1"/>
  <c r="J33" i="1" s="1"/>
  <c r="K33" i="1" s="1"/>
  <c r="L33" i="1" s="1"/>
  <c r="I32" i="1"/>
  <c r="J32" i="1" s="1"/>
  <c r="K32" i="1" s="1"/>
  <c r="L32" i="1" s="1"/>
  <c r="J31" i="1"/>
  <c r="K31" i="1" s="1"/>
  <c r="L31" i="1" s="1"/>
  <c r="K30" i="1"/>
  <c r="L30" i="1" s="1"/>
  <c r="L21" i="1"/>
  <c r="K21" i="1" s="1"/>
  <c r="L22" i="1"/>
  <c r="K22" i="1" s="1"/>
  <c r="L23" i="1"/>
  <c r="K23" i="1" s="1"/>
  <c r="L24" i="1"/>
  <c r="K24" i="1" s="1"/>
  <c r="L20" i="1"/>
  <c r="K20" i="1" s="1"/>
  <c r="L15" i="1"/>
  <c r="F94" i="1" l="1"/>
  <c r="G90" i="1" s="1"/>
  <c r="K92" i="1"/>
  <c r="G92" i="1"/>
  <c r="J92" i="1"/>
  <c r="H92" i="1"/>
  <c r="I92" i="1"/>
  <c r="J72" i="1"/>
  <c r="I57" i="1"/>
  <c r="J57" i="1" s="1"/>
  <c r="K57" i="1" s="1"/>
  <c r="L57" i="1" s="1"/>
  <c r="I61" i="1"/>
  <c r="F108" i="1"/>
  <c r="G72" i="1"/>
  <c r="I72" i="1"/>
  <c r="H72" i="1"/>
  <c r="L107" i="1"/>
  <c r="F96" i="1"/>
  <c r="K72" i="1"/>
  <c r="J61" i="1"/>
  <c r="K61" i="1" s="1"/>
  <c r="L61" i="1" s="1"/>
  <c r="I64" i="1"/>
  <c r="J64" i="1" s="1"/>
  <c r="K64" i="1" s="1"/>
  <c r="L64" i="1" s="1"/>
  <c r="I65" i="1"/>
  <c r="J65" i="1" s="1"/>
  <c r="K65" i="1" s="1"/>
  <c r="L65" i="1" s="1"/>
  <c r="I63" i="1"/>
  <c r="J63" i="1" s="1"/>
  <c r="K63" i="1" s="1"/>
  <c r="L63" i="1" s="1"/>
  <c r="I62" i="1"/>
  <c r="J62" i="1" s="1"/>
  <c r="K62" i="1" s="1"/>
  <c r="L62" i="1" s="1"/>
  <c r="G66" i="1"/>
  <c r="H66" i="1"/>
  <c r="L25" i="1"/>
  <c r="K25" i="1" s="1"/>
  <c r="L13" i="1"/>
  <c r="L12" i="1"/>
  <c r="D55" i="1"/>
  <c r="D54" i="1"/>
  <c r="L9" i="1" s="1"/>
  <c r="D66" i="1"/>
  <c r="D53" i="1"/>
  <c r="D59" i="1" s="1"/>
  <c r="F44" i="1"/>
  <c r="H18" i="1"/>
  <c r="H19" i="1" s="1"/>
  <c r="H21" i="1" s="1"/>
  <c r="G42" i="1"/>
  <c r="H42" i="1" s="1"/>
  <c r="I42" i="1" s="1"/>
  <c r="J42" i="1" s="1"/>
  <c r="K42" i="1" s="1"/>
  <c r="L42" i="1" s="1"/>
  <c r="G41" i="1"/>
  <c r="H41" i="1" s="1"/>
  <c r="I41" i="1" s="1"/>
  <c r="J41" i="1" s="1"/>
  <c r="K41" i="1" s="1"/>
  <c r="L41" i="1" s="1"/>
  <c r="H13" i="1"/>
  <c r="G94" i="1" l="1"/>
  <c r="H90" i="1" s="1"/>
  <c r="H87" i="1" s="1"/>
  <c r="G87" i="1"/>
  <c r="L108" i="1"/>
  <c r="L110" i="1" s="1"/>
  <c r="H94" i="1"/>
  <c r="I90" i="1" s="1"/>
  <c r="K66" i="1"/>
  <c r="L66" i="1"/>
  <c r="J66" i="1"/>
  <c r="I66" i="1"/>
  <c r="F47" i="1"/>
  <c r="L11" i="1"/>
  <c r="L14" i="1" s="1"/>
  <c r="L16" i="1" s="1"/>
  <c r="D68" i="1"/>
  <c r="F110" i="1" l="1"/>
  <c r="E108" i="1" s="1"/>
  <c r="K109" i="1"/>
  <c r="K107" i="1"/>
  <c r="K108" i="1"/>
  <c r="I94" i="1"/>
  <c r="J90" i="1" s="1"/>
  <c r="J87" i="1" s="1"/>
  <c r="I87" i="1"/>
  <c r="K13" i="1"/>
  <c r="G47" i="1"/>
  <c r="H47" i="1" s="1"/>
  <c r="I47" i="1" s="1"/>
  <c r="J47" i="1" s="1"/>
  <c r="K47" i="1" s="1"/>
  <c r="L47" i="1" s="1"/>
  <c r="F48" i="1"/>
  <c r="K110" i="1" l="1"/>
  <c r="J94" i="1"/>
  <c r="K90" i="1" s="1"/>
  <c r="K87" i="1" s="1"/>
  <c r="G48" i="1"/>
  <c r="G50" i="1" s="1"/>
  <c r="G51" i="1" s="1"/>
  <c r="G55" i="1" s="1"/>
  <c r="H48" i="1"/>
  <c r="H50" i="1" s="1"/>
  <c r="K93" i="1" l="1"/>
  <c r="G54" i="1"/>
  <c r="G52" i="1"/>
  <c r="G53" i="1" s="1"/>
  <c r="G59" i="1" s="1"/>
  <c r="G68" i="1" s="1"/>
  <c r="H54" i="1"/>
  <c r="H51" i="1"/>
  <c r="H55" i="1" s="1"/>
  <c r="H52" i="1"/>
  <c r="I48" i="1"/>
  <c r="I50" i="1" s="1"/>
  <c r="K94" i="1" l="1"/>
  <c r="F120" i="1"/>
  <c r="I54" i="1"/>
  <c r="I51" i="1"/>
  <c r="I55" i="1" s="1"/>
  <c r="H53" i="1"/>
  <c r="H59" i="1" s="1"/>
  <c r="H68" i="1" s="1"/>
  <c r="I52" i="1"/>
  <c r="I53" i="1" s="1"/>
  <c r="I59" i="1" s="1"/>
  <c r="I68" i="1" s="1"/>
  <c r="J48" i="1"/>
  <c r="J50" i="1" s="1"/>
  <c r="G75" i="1" l="1"/>
  <c r="G76" i="1" s="1"/>
  <c r="G78" i="1" s="1"/>
  <c r="G96" i="1" s="1"/>
  <c r="H75" i="1"/>
  <c r="H76" i="1" s="1"/>
  <c r="H78" i="1" s="1"/>
  <c r="H96" i="1" s="1"/>
  <c r="J51" i="1"/>
  <c r="J55" i="1" s="1"/>
  <c r="J54" i="1"/>
  <c r="J52" i="1"/>
  <c r="K48" i="1"/>
  <c r="K50" i="1" s="1"/>
  <c r="J53" i="1" l="1"/>
  <c r="J59" i="1" s="1"/>
  <c r="J68" i="1" s="1"/>
  <c r="K54" i="1"/>
  <c r="K51" i="1"/>
  <c r="K55" i="1" s="1"/>
  <c r="K52" i="1"/>
  <c r="L48" i="1"/>
  <c r="L50" i="1" s="1"/>
  <c r="I75" i="1" l="1"/>
  <c r="I76" i="1" s="1"/>
  <c r="I78" i="1" s="1"/>
  <c r="I96" i="1" s="1"/>
  <c r="K53" i="1"/>
  <c r="K59" i="1" s="1"/>
  <c r="K68" i="1" s="1"/>
  <c r="J75" i="1" s="1"/>
  <c r="J76" i="1" s="1"/>
  <c r="J78" i="1" s="1"/>
  <c r="J96" i="1" s="1"/>
  <c r="L54" i="1"/>
  <c r="L51" i="1"/>
  <c r="L55" i="1" s="1"/>
  <c r="L52" i="1"/>
  <c r="L53" i="1" l="1"/>
  <c r="L59" i="1" s="1"/>
  <c r="L68" i="1" s="1"/>
  <c r="I114" i="1" l="1" a="1"/>
  <c r="I116" i="1" s="1"/>
  <c r="K75" i="1"/>
  <c r="H15" i="1" s="1"/>
  <c r="D119" i="1"/>
  <c r="F119" i="1" s="1"/>
  <c r="K76" i="1" l="1"/>
  <c r="K78" i="1" s="1"/>
  <c r="D82" i="1" s="1"/>
  <c r="I117" i="1"/>
  <c r="K117" i="1" s="1"/>
  <c r="L117" i="1" s="1"/>
  <c r="I115" i="1"/>
  <c r="I118" i="1"/>
  <c r="K118" i="1" s="1"/>
  <c r="L118" i="1" s="1"/>
  <c r="I119" i="1"/>
  <c r="K119" i="1" s="1"/>
  <c r="L119" i="1" s="1"/>
  <c r="I114" i="1"/>
  <c r="K114" i="1" s="1"/>
  <c r="L114" i="1" s="1"/>
  <c r="K115" i="1"/>
  <c r="L115" i="1" s="1"/>
  <c r="J116" i="1"/>
  <c r="K116" i="1"/>
  <c r="L116" i="1" s="1"/>
  <c r="J117" i="1"/>
  <c r="D81" i="1"/>
  <c r="K96" i="1" l="1"/>
  <c r="D80" i="1"/>
  <c r="D83" i="1" s="1"/>
  <c r="J118" i="1"/>
  <c r="J119" i="1"/>
  <c r="J115" i="1"/>
  <c r="F107" i="1" l="1"/>
  <c r="D100" i="1"/>
  <c r="D99" i="1"/>
  <c r="D98" i="1"/>
  <c r="D101" i="1" s="1"/>
  <c r="C114" i="1" a="1"/>
  <c r="C114" i="1" s="1"/>
  <c r="C115" i="1" l="1" a="1"/>
  <c r="E114" i="1"/>
  <c r="F114" i="1"/>
  <c r="D114" i="1"/>
  <c r="E107" i="1"/>
  <c r="F109" i="1"/>
  <c r="E109" i="1" s="1"/>
  <c r="E110" i="1" l="1"/>
  <c r="F115" i="1"/>
  <c r="E115" i="1"/>
  <c r="D115" i="1"/>
  <c r="C115" i="1"/>
  <c r="F121" i="1" s="1"/>
  <c r="F122" i="1" s="1"/>
  <c r="F123" i="1" l="1"/>
  <c r="F124" i="1" s="1"/>
</calcChain>
</file>

<file path=xl/sharedStrings.xml><?xml version="1.0" encoding="utf-8"?>
<sst xmlns="http://schemas.openxmlformats.org/spreadsheetml/2006/main" count="291" uniqueCount="111">
  <si>
    <t>Property Overview</t>
  </si>
  <si>
    <t>Type</t>
  </si>
  <si>
    <t>Units</t>
  </si>
  <si>
    <t>Year Built</t>
  </si>
  <si>
    <t>Multifamily</t>
  </si>
  <si>
    <t>Acquisition Assumptions</t>
  </si>
  <si>
    <t>Acquisition Date</t>
  </si>
  <si>
    <t>Hold Period</t>
  </si>
  <si>
    <t>Purchase Price</t>
  </si>
  <si>
    <t>Exit Assumptions</t>
  </si>
  <si>
    <t>Exit Date</t>
  </si>
  <si>
    <t>Exit Cap Rate</t>
  </si>
  <si>
    <t>Sale Price</t>
  </si>
  <si>
    <t>Financing Assumptions</t>
  </si>
  <si>
    <t>Loan Amount</t>
  </si>
  <si>
    <t>Interest Rate</t>
  </si>
  <si>
    <t>Origination Fee</t>
  </si>
  <si>
    <t>INPUTS &amp; DRIVERS</t>
  </si>
  <si>
    <t>MODEL</t>
  </si>
  <si>
    <t>T-12</t>
  </si>
  <si>
    <t>Unrenovated Units</t>
  </si>
  <si>
    <t>Renovated Units</t>
  </si>
  <si>
    <t>Capital Expenditures</t>
  </si>
  <si>
    <t>Offensive</t>
  </si>
  <si>
    <t>Defensive</t>
  </si>
  <si>
    <t>Unit Renovations</t>
  </si>
  <si>
    <t>Cost / Unit</t>
  </si>
  <si>
    <t>Rent Premium</t>
  </si>
  <si>
    <t>ROI</t>
  </si>
  <si>
    <t>Unrenovated Rent</t>
  </si>
  <si>
    <t>Renovated Rent</t>
  </si>
  <si>
    <t>Rent Growth</t>
  </si>
  <si>
    <t>Net Effective Rent</t>
  </si>
  <si>
    <t>Vacancy Loss</t>
  </si>
  <si>
    <t>Total Rental Income</t>
  </si>
  <si>
    <t>Other Revenue</t>
  </si>
  <si>
    <t>Total Other Revenue</t>
  </si>
  <si>
    <t>Total Income</t>
  </si>
  <si>
    <t>Occupancy</t>
  </si>
  <si>
    <t>Growth</t>
  </si>
  <si>
    <t>Repairs &amp; Maintenance</t>
  </si>
  <si>
    <t>General &amp; Administrative</t>
  </si>
  <si>
    <t>Payroll</t>
  </si>
  <si>
    <t>Utilities</t>
  </si>
  <si>
    <t>Real Estate Taxes</t>
  </si>
  <si>
    <t>Effective Rent / Month</t>
  </si>
  <si>
    <t>Physical Occupancy</t>
  </si>
  <si>
    <t>Bad Debt &amp; Non-Rev. Units</t>
  </si>
  <si>
    <t>In-Place Income (T-12)</t>
  </si>
  <si>
    <t>In-Place Expenses (T-12)</t>
  </si>
  <si>
    <t>Per Unit</t>
  </si>
  <si>
    <t>Total</t>
  </si>
  <si>
    <t>Other Revenue Growth</t>
  </si>
  <si>
    <t>Expense Growth</t>
  </si>
  <si>
    <t>Historicals</t>
  </si>
  <si>
    <t>Defensive Renovations</t>
  </si>
  <si>
    <t>Offensive Renovations</t>
  </si>
  <si>
    <t>Offensive CapEx</t>
  </si>
  <si>
    <t>Defensive CapEx</t>
  </si>
  <si>
    <t>Total Capital Expenditures</t>
  </si>
  <si>
    <t>Sale Proceeds</t>
  </si>
  <si>
    <t>Total Acquisition &amp; Sale</t>
  </si>
  <si>
    <t>Unlevered Cash Flow</t>
  </si>
  <si>
    <t>IRR</t>
  </si>
  <si>
    <t>Profit</t>
  </si>
  <si>
    <t>Multiple</t>
  </si>
  <si>
    <t>Peak Equity</t>
  </si>
  <si>
    <t>LIBOR</t>
  </si>
  <si>
    <t>Beg. Balance</t>
  </si>
  <si>
    <t>Loan Funding</t>
  </si>
  <si>
    <t>Amortization</t>
  </si>
  <si>
    <t>Loan Payoff</t>
  </si>
  <si>
    <t>End Balance</t>
  </si>
  <si>
    <t>Interest Expense</t>
  </si>
  <si>
    <t>Levered Cash Flow</t>
  </si>
  <si>
    <t>Total OpEx</t>
  </si>
  <si>
    <t>NOI</t>
  </si>
  <si>
    <t>TRANSACTION SUMMARY</t>
  </si>
  <si>
    <t>Sources &amp; Uses</t>
  </si>
  <si>
    <t>Uses</t>
  </si>
  <si>
    <t>Total Uses</t>
  </si>
  <si>
    <t>Sources</t>
  </si>
  <si>
    <t>Equity</t>
  </si>
  <si>
    <t>Debt</t>
  </si>
  <si>
    <t>Operating Cashflow</t>
  </si>
  <si>
    <t>Total Sources</t>
  </si>
  <si>
    <t>$ Amount</t>
  </si>
  <si>
    <t>% Total</t>
  </si>
  <si>
    <t>Returns Summary</t>
  </si>
  <si>
    <t>Unlevered</t>
  </si>
  <si>
    <t>Levered</t>
  </si>
  <si>
    <t>Exit Summary</t>
  </si>
  <si>
    <t>Fwd NOI</t>
  </si>
  <si>
    <t>Exit Cap</t>
  </si>
  <si>
    <t>Less: Outstanding Debt</t>
  </si>
  <si>
    <t>Less: Equity</t>
  </si>
  <si>
    <t>Terminal Value Profit</t>
  </si>
  <si>
    <t>Interim Cash Flow</t>
  </si>
  <si>
    <t>Total Profit</t>
  </si>
  <si>
    <t>NOI Summary</t>
  </si>
  <si>
    <t>Year 1</t>
  </si>
  <si>
    <t>Year 2</t>
  </si>
  <si>
    <t>Year 3</t>
  </si>
  <si>
    <t>Year 4</t>
  </si>
  <si>
    <t>Year 5</t>
  </si>
  <si>
    <t>Year 6</t>
  </si>
  <si>
    <t>YoC</t>
  </si>
  <si>
    <t>Δ to Exit Cap</t>
  </si>
  <si>
    <t>Units Renovated</t>
  </si>
  <si>
    <t>Drivers</t>
  </si>
  <si>
    <t>BoE Multifamily Acquisition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</si>
</sst>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General&quot; Months&quot;"/>
    <numFmt numFmtId="165" formatCode="#,##0;\(#,##0\);&quot;–&quot;;@"/>
    <numFmt numFmtId="166" formatCode="[$$]#,##0;\([$$]#,##0\);&quot;–&quot;;@"/>
    <numFmt numFmtId="167" formatCode="0%_);\(0%\);&quot;–&quot;_)"/>
    <numFmt numFmtId="168" formatCode="0.0%_);\(0.0%\);&quot;–&quot;_)"/>
    <numFmt numFmtId="169" formatCode="0.00%_);\(0.00%\);&quot;–&quot;_)"/>
    <numFmt numFmtId="170" formatCode="&quot;Year &quot;General"/>
    <numFmt numFmtId="171" formatCode="[$$-380A]\ #,##0;\-[$$-380A]\ #,##0"/>
    <numFmt numFmtId="172" formatCode="0.0\x;\(0.0\x\);&quot;–&quot;"/>
    <numFmt numFmtId="173" formatCode="&quot;L+ &quot;#,##0;\(#,##0\);&quot;–&quot;;@"/>
  </numFmts>
  <fonts count="16" x14ac:knownFonts="1">
    <font>
      <sz val="10"/>
      <color theme="1"/>
      <name val="Palatino Linotype"/>
      <family val="2"/>
    </font>
    <font>
      <b/>
      <sz val="10"/>
      <color theme="1"/>
      <name val="Palatino Linotype"/>
      <family val="1"/>
    </font>
    <font>
      <sz val="10"/>
      <color rgb="FF0000FF"/>
      <name val="Palatino Linotype"/>
      <family val="2"/>
    </font>
    <font>
      <sz val="10"/>
      <color rgb="FF0000FF"/>
      <name val="Palatino Linotype"/>
      <family val="1"/>
    </font>
    <font>
      <sz val="10"/>
      <name val="Palatino Linotype"/>
      <family val="2"/>
    </font>
    <font>
      <u/>
      <sz val="10"/>
      <color theme="1"/>
      <name val="Palatino Linotype"/>
      <family val="2"/>
    </font>
    <font>
      <i/>
      <sz val="10"/>
      <color theme="1"/>
      <name val="Palatino Linotype"/>
      <family val="1"/>
    </font>
    <font>
      <i/>
      <sz val="10"/>
      <name val="Palatino Linotype"/>
      <family val="1"/>
    </font>
    <font>
      <sz val="10"/>
      <name val="Palatino Linotype"/>
      <family val="1"/>
    </font>
    <font>
      <i/>
      <sz val="10"/>
      <color rgb="FF0000FF"/>
      <name val="Palatino Linotype"/>
      <family val="1"/>
    </font>
    <font>
      <sz val="10"/>
      <color theme="1"/>
      <name val="Palatino Linotype"/>
      <family val="1"/>
    </font>
    <font>
      <b/>
      <sz val="10"/>
      <name val="Palatino Linotype"/>
      <family val="1"/>
    </font>
    <font>
      <b/>
      <sz val="10"/>
      <color rgb="FF0000FF"/>
      <name val="Palatino Linotype"/>
      <family val="1"/>
    </font>
    <font>
      <b/>
      <u/>
      <sz val="10"/>
      <color theme="1"/>
      <name val="Palatino Linotype"/>
      <family val="1"/>
    </font>
    <font>
      <u/>
      <sz val="10"/>
      <name val="Palatino Linotype"/>
      <family val="1"/>
    </font>
    <font>
      <u/>
      <sz val="10"/>
      <color theme="1"/>
      <name val="Palatino Linotype"/>
      <family val="1"/>
    </font>
  </fonts>
  <fills count="7">
    <fill>
      <patternFill patternType="none"/>
    </fill>
    <fill>
      <patternFill patternType="gray125"/>
    </fill>
    <fill>
      <patternFill patternType="solid">
        <fgColor rgb="FFEDEDED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0" fillId="0" borderId="0" xfId="0" applyNumberFormat="1"/>
    <xf numFmtId="14" fontId="2" fillId="0" borderId="0" xfId="0" applyNumberFormat="1" applyFont="1"/>
    <xf numFmtId="164" fontId="3" fillId="0" borderId="0" xfId="0" applyNumberFormat="1" applyFont="1"/>
    <xf numFmtId="165" fontId="0" fillId="0" borderId="0" xfId="0" applyNumberFormat="1"/>
    <xf numFmtId="165" fontId="2" fillId="0" borderId="0" xfId="0" applyNumberFormat="1" applyFont="1"/>
    <xf numFmtId="166" fontId="2" fillId="0" borderId="0" xfId="0" applyNumberFormat="1" applyFont="1"/>
    <xf numFmtId="166" fontId="0" fillId="0" borderId="0" xfId="0" applyNumberFormat="1"/>
    <xf numFmtId="167" fontId="0" fillId="0" borderId="0" xfId="0" applyNumberFormat="1"/>
    <xf numFmtId="169" fontId="2" fillId="0" borderId="0" xfId="0" applyNumberFormat="1" applyFont="1"/>
    <xf numFmtId="14" fontId="4" fillId="0" borderId="0" xfId="0" applyNumberFormat="1" applyFont="1"/>
    <xf numFmtId="170" fontId="3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170" fontId="0" fillId="0" borderId="0" xfId="0" applyNumberFormat="1" applyAlignment="1">
      <alignment horizontal="center"/>
    </xf>
    <xf numFmtId="0" fontId="0" fillId="0" borderId="0" xfId="0" applyAlignment="1">
      <alignment horizontal="left" indent="1"/>
    </xf>
    <xf numFmtId="171" fontId="0" fillId="0" borderId="0" xfId="0" applyNumberFormat="1"/>
    <xf numFmtId="0" fontId="6" fillId="0" borderId="0" xfId="0" applyFont="1"/>
    <xf numFmtId="165" fontId="4" fillId="0" borderId="0" xfId="0" applyNumberFormat="1" applyFont="1"/>
    <xf numFmtId="164" fontId="8" fillId="0" borderId="0" xfId="0" applyNumberFormat="1" applyFont="1"/>
    <xf numFmtId="0" fontId="5" fillId="0" borderId="0" xfId="0" applyFont="1" applyAlignment="1">
      <alignment horizontal="center"/>
    </xf>
    <xf numFmtId="166" fontId="0" fillId="0" borderId="0" xfId="0" applyNumberFormat="1" applyFill="1"/>
    <xf numFmtId="168" fontId="0" fillId="0" borderId="0" xfId="0" applyNumberFormat="1"/>
    <xf numFmtId="165" fontId="2" fillId="0" borderId="0" xfId="0" applyNumberFormat="1" applyFont="1" applyFill="1"/>
    <xf numFmtId="167" fontId="7" fillId="0" borderId="0" xfId="0" applyNumberFormat="1" applyFont="1"/>
    <xf numFmtId="0" fontId="0" fillId="0" borderId="0" xfId="0" applyBorder="1"/>
    <xf numFmtId="168" fontId="9" fillId="0" borderId="0" xfId="0" applyNumberFormat="1" applyFont="1" applyBorder="1"/>
    <xf numFmtId="168" fontId="7" fillId="0" borderId="0" xfId="0" applyNumberFormat="1" applyFont="1" applyBorder="1"/>
    <xf numFmtId="168" fontId="9" fillId="0" borderId="0" xfId="0" applyNumberFormat="1" applyFont="1" applyFill="1" applyBorder="1"/>
    <xf numFmtId="0" fontId="0" fillId="0" borderId="1" xfId="0" applyBorder="1"/>
    <xf numFmtId="168" fontId="9" fillId="0" borderId="1" xfId="0" applyNumberFormat="1" applyFont="1" applyBorder="1"/>
    <xf numFmtId="168" fontId="7" fillId="0" borderId="1" xfId="0" applyNumberFormat="1" applyFont="1" applyBorder="1"/>
    <xf numFmtId="168" fontId="7" fillId="0" borderId="2" xfId="0" applyNumberFormat="1" applyFont="1" applyBorder="1"/>
    <xf numFmtId="168" fontId="7" fillId="0" borderId="3" xfId="0" applyNumberFormat="1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0" fillId="0" borderId="7" xfId="0" applyBorder="1"/>
    <xf numFmtId="168" fontId="9" fillId="0" borderId="7" xfId="0" applyNumberFormat="1" applyFont="1" applyBorder="1"/>
    <xf numFmtId="168" fontId="7" fillId="0" borderId="7" xfId="0" applyNumberFormat="1" applyFont="1" applyBorder="1"/>
    <xf numFmtId="168" fontId="7" fillId="0" borderId="8" xfId="0" applyNumberFormat="1" applyFont="1" applyBorder="1"/>
    <xf numFmtId="166" fontId="7" fillId="0" borderId="0" xfId="0" applyNumberFormat="1" applyFont="1"/>
    <xf numFmtId="166" fontId="6" fillId="0" borderId="0" xfId="0" applyNumberFormat="1" applyFont="1"/>
    <xf numFmtId="0" fontId="6" fillId="0" borderId="0" xfId="0" applyFont="1" applyAlignment="1">
      <alignment horizontal="left" indent="1"/>
    </xf>
    <xf numFmtId="14" fontId="0" fillId="0" borderId="0" xfId="0" applyNumberFormat="1" applyFont="1" applyAlignment="1">
      <alignment horizontal="center"/>
    </xf>
    <xf numFmtId="0" fontId="6" fillId="0" borderId="5" xfId="0" applyFont="1" applyFill="1" applyBorder="1"/>
    <xf numFmtId="0" fontId="6" fillId="0" borderId="6" xfId="0" applyFont="1" applyFill="1" applyBorder="1"/>
    <xf numFmtId="166" fontId="0" fillId="0" borderId="1" xfId="0" applyNumberFormat="1" applyBorder="1"/>
    <xf numFmtId="167" fontId="9" fillId="0" borderId="7" xfId="0" applyNumberFormat="1" applyFont="1" applyBorder="1"/>
    <xf numFmtId="167" fontId="9" fillId="0" borderId="8" xfId="0" applyNumberFormat="1" applyFont="1" applyBorder="1"/>
    <xf numFmtId="168" fontId="0" fillId="0" borderId="0" xfId="0" applyNumberFormat="1" applyBorder="1"/>
    <xf numFmtId="165" fontId="0" fillId="0" borderId="0" xfId="0" applyNumberFormat="1" applyBorder="1"/>
    <xf numFmtId="0" fontId="1" fillId="0" borderId="1" xfId="0" applyFont="1" applyBorder="1"/>
    <xf numFmtId="168" fontId="2" fillId="0" borderId="0" xfId="0" applyNumberFormat="1" applyFont="1"/>
    <xf numFmtId="0" fontId="10" fillId="0" borderId="0" xfId="0" applyFont="1" applyFill="1" applyBorder="1"/>
    <xf numFmtId="173" fontId="2" fillId="0" borderId="0" xfId="0" applyNumberFormat="1" applyFont="1"/>
    <xf numFmtId="0" fontId="1" fillId="2" borderId="0" xfId="0" applyFont="1" applyFill="1"/>
    <xf numFmtId="0" fontId="0" fillId="2" borderId="0" xfId="0" applyFill="1"/>
    <xf numFmtId="0" fontId="2" fillId="0" borderId="0" xfId="0" applyFont="1" applyBorder="1" applyAlignment="1">
      <alignment horizontal="right"/>
    </xf>
    <xf numFmtId="0" fontId="1" fillId="0" borderId="9" xfId="0" applyFont="1" applyBorder="1"/>
    <xf numFmtId="0" fontId="1" fillId="3" borderId="9" xfId="0" applyFont="1" applyFill="1" applyBorder="1"/>
    <xf numFmtId="0" fontId="0" fillId="3" borderId="9" xfId="0" applyFill="1" applyBorder="1"/>
    <xf numFmtId="166" fontId="1" fillId="0" borderId="1" xfId="0" applyNumberFormat="1" applyFont="1" applyBorder="1"/>
    <xf numFmtId="166" fontId="1" fillId="0" borderId="0" xfId="0" applyNumberFormat="1" applyFont="1"/>
    <xf numFmtId="165" fontId="2" fillId="0" borderId="0" xfId="0" applyNumberFormat="1" applyFont="1" applyBorder="1"/>
    <xf numFmtId="14" fontId="0" fillId="0" borderId="0" xfId="0" applyNumberFormat="1" applyBorder="1"/>
    <xf numFmtId="14" fontId="0" fillId="0" borderId="1" xfId="0" applyNumberFormat="1" applyBorder="1"/>
    <xf numFmtId="0" fontId="0" fillId="0" borderId="0" xfId="0" applyBorder="1" applyAlignment="1">
      <alignment horizontal="left" indent="1"/>
    </xf>
    <xf numFmtId="165" fontId="1" fillId="0" borderId="1" xfId="0" applyNumberFormat="1" applyFont="1" applyBorder="1"/>
    <xf numFmtId="166" fontId="11" fillId="0" borderId="1" xfId="0" applyNumberFormat="1" applyFont="1" applyBorder="1"/>
    <xf numFmtId="166" fontId="12" fillId="0" borderId="0" xfId="0" applyNumberFormat="1" applyFont="1"/>
    <xf numFmtId="166" fontId="11" fillId="0" borderId="9" xfId="0" applyNumberFormat="1" applyFont="1" applyBorder="1"/>
    <xf numFmtId="166" fontId="1" fillId="0" borderId="9" xfId="0" applyNumberFormat="1" applyFont="1" applyBorder="1"/>
    <xf numFmtId="0" fontId="13" fillId="0" borderId="0" xfId="0" applyFont="1"/>
    <xf numFmtId="167" fontId="1" fillId="0" borderId="1" xfId="0" applyNumberFormat="1" applyFont="1" applyBorder="1"/>
    <xf numFmtId="167" fontId="0" fillId="0" borderId="0" xfId="0" applyNumberFormat="1" applyBorder="1"/>
    <xf numFmtId="0" fontId="13" fillId="0" borderId="0" xfId="0" applyFont="1" applyFill="1" applyBorder="1" applyAlignment="1">
      <alignment horizontal="center"/>
    </xf>
    <xf numFmtId="166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172" fontId="0" fillId="0" borderId="0" xfId="0" applyNumberFormat="1" applyAlignment="1">
      <alignment horizontal="center"/>
    </xf>
    <xf numFmtId="0" fontId="13" fillId="0" borderId="0" xfId="0" applyFont="1" applyAlignment="1">
      <alignment horizontal="center"/>
    </xf>
    <xf numFmtId="169" fontId="1" fillId="0" borderId="0" xfId="0" applyNumberFormat="1" applyFont="1"/>
    <xf numFmtId="167" fontId="9" fillId="0" borderId="0" xfId="0" applyNumberFormat="1" applyFont="1" applyBorder="1"/>
    <xf numFmtId="167" fontId="9" fillId="0" borderId="3" xfId="0" applyNumberFormat="1" applyFont="1" applyBorder="1"/>
    <xf numFmtId="167" fontId="6" fillId="0" borderId="1" xfId="0" applyNumberFormat="1" applyFont="1" applyBorder="1"/>
    <xf numFmtId="0" fontId="4" fillId="0" borderId="0" xfId="0" applyFont="1"/>
    <xf numFmtId="167" fontId="6" fillId="0" borderId="2" xfId="0" applyNumberFormat="1" applyFont="1" applyBorder="1"/>
    <xf numFmtId="170" fontId="14" fillId="0" borderId="0" xfId="0" applyNumberFormat="1" applyFont="1" applyAlignment="1">
      <alignment horizontal="center"/>
    </xf>
    <xf numFmtId="170" fontId="15" fillId="0" borderId="0" xfId="0" applyNumberFormat="1" applyFont="1" applyAlignment="1">
      <alignment horizontal="center"/>
    </xf>
    <xf numFmtId="166" fontId="4" fillId="0" borderId="0" xfId="0" applyNumberFormat="1" applyFont="1"/>
    <xf numFmtId="167" fontId="2" fillId="0" borderId="0" xfId="0" applyNumberFormat="1" applyFont="1"/>
    <xf numFmtId="0" fontId="1" fillId="5" borderId="4" xfId="0" applyFont="1" applyFill="1" applyBorder="1"/>
    <xf numFmtId="0" fontId="1" fillId="6" borderId="1" xfId="0" applyFont="1" applyFill="1" applyBorder="1"/>
    <xf numFmtId="166" fontId="1" fillId="6" borderId="2" xfId="0" applyNumberFormat="1" applyFont="1" applyFill="1" applyBorder="1"/>
    <xf numFmtId="0" fontId="1" fillId="6" borderId="5" xfId="0" applyFont="1" applyFill="1" applyBorder="1"/>
    <xf numFmtId="0" fontId="1" fillId="6" borderId="0" xfId="0" applyFont="1" applyFill="1" applyBorder="1"/>
    <xf numFmtId="168" fontId="1" fillId="6" borderId="3" xfId="0" applyNumberFormat="1" applyFont="1" applyFill="1" applyBorder="1"/>
    <xf numFmtId="166" fontId="1" fillId="6" borderId="3" xfId="0" applyNumberFormat="1" applyFont="1" applyFill="1" applyBorder="1"/>
    <xf numFmtId="0" fontId="1" fillId="6" borderId="6" xfId="0" applyFont="1" applyFill="1" applyBorder="1"/>
    <xf numFmtId="0" fontId="1" fillId="6" borderId="7" xfId="0" applyFont="1" applyFill="1" applyBorder="1"/>
    <xf numFmtId="172" fontId="1" fillId="6" borderId="8" xfId="0" applyNumberFormat="1" applyFont="1" applyFill="1" applyBorder="1"/>
    <xf numFmtId="0" fontId="1" fillId="5" borderId="1" xfId="0" applyFont="1" applyFill="1" applyBorder="1"/>
    <xf numFmtId="166" fontId="1" fillId="5" borderId="2" xfId="0" applyNumberFormat="1" applyFont="1" applyFill="1" applyBorder="1"/>
    <xf numFmtId="0" fontId="1" fillId="5" borderId="5" xfId="0" applyFont="1" applyFill="1" applyBorder="1"/>
    <xf numFmtId="0" fontId="1" fillId="5" borderId="0" xfId="0" applyFont="1" applyFill="1" applyBorder="1"/>
    <xf numFmtId="168" fontId="1" fillId="5" borderId="3" xfId="0" applyNumberFormat="1" applyFont="1" applyFill="1" applyBorder="1"/>
    <xf numFmtId="166" fontId="1" fillId="5" borderId="3" xfId="0" applyNumberFormat="1" applyFont="1" applyFill="1" applyBorder="1"/>
    <xf numFmtId="0" fontId="1" fillId="5" borderId="6" xfId="0" applyFont="1" applyFill="1" applyBorder="1"/>
    <xf numFmtId="0" fontId="1" fillId="5" borderId="7" xfId="0" applyFont="1" applyFill="1" applyBorder="1"/>
    <xf numFmtId="172" fontId="1" fillId="5" borderId="8" xfId="0" applyNumberFormat="1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Alignment="1">
      <alignment horizontal="right"/>
    </xf>
    <xf numFmtId="167" fontId="2" fillId="4" borderId="0" xfId="0" applyNumberFormat="1" applyFont="1" applyFill="1"/>
    <xf numFmtId="173" fontId="2" fillId="4" borderId="0" xfId="0" applyNumberFormat="1" applyFont="1" applyFill="1"/>
    <xf numFmtId="169" fontId="2" fillId="4" borderId="0" xfId="0" applyNumberFormat="1" applyFont="1" applyFill="1"/>
    <xf numFmtId="165" fontId="2" fillId="4" borderId="0" xfId="0" applyNumberFormat="1" applyFont="1" applyFill="1"/>
    <xf numFmtId="165" fontId="2" fillId="4" borderId="0" xfId="0" applyNumberFormat="1" applyFont="1" applyFill="1" applyBorder="1"/>
    <xf numFmtId="14" fontId="2" fillId="4" borderId="0" xfId="0" applyNumberFormat="1" applyFont="1" applyFill="1"/>
    <xf numFmtId="164" fontId="3" fillId="4" borderId="0" xfId="0" applyNumberFormat="1" applyFont="1" applyFill="1"/>
    <xf numFmtId="166" fontId="2" fillId="4" borderId="0" xfId="0" applyNumberFormat="1" applyFont="1" applyFill="1"/>
    <xf numFmtId="166" fontId="4" fillId="4" borderId="0" xfId="0" applyNumberFormat="1" applyFont="1" applyFill="1"/>
    <xf numFmtId="166" fontId="1" fillId="4" borderId="1" xfId="0" applyNumberFormat="1" applyFont="1" applyFill="1" applyBorder="1"/>
    <xf numFmtId="14" fontId="4" fillId="4" borderId="0" xfId="0" applyNumberFormat="1" applyFont="1" applyFill="1"/>
    <xf numFmtId="166" fontId="0" fillId="4" borderId="0" xfId="0" applyNumberFormat="1" applyFill="1"/>
    <xf numFmtId="0" fontId="0" fillId="4" borderId="0" xfId="0" applyFill="1"/>
    <xf numFmtId="167" fontId="0" fillId="4" borderId="0" xfId="0" applyNumberFormat="1" applyFill="1"/>
    <xf numFmtId="165" fontId="0" fillId="4" borderId="0" xfId="0" applyNumberFormat="1" applyFill="1"/>
    <xf numFmtId="165" fontId="0" fillId="4" borderId="0" xfId="0" applyNumberFormat="1" applyFill="1" applyBorder="1"/>
    <xf numFmtId="166" fontId="0" fillId="4" borderId="1" xfId="0" applyNumberFormat="1" applyFill="1" applyBorder="1"/>
    <xf numFmtId="168" fontId="0" fillId="4" borderId="0" xfId="0" applyNumberFormat="1" applyFill="1" applyBorder="1"/>
    <xf numFmtId="0" fontId="0" fillId="4" borderId="0" xfId="0" applyFill="1" applyBorder="1"/>
    <xf numFmtId="168" fontId="9" fillId="4" borderId="1" xfId="0" applyNumberFormat="1" applyFont="1" applyFill="1" applyBorder="1"/>
    <xf numFmtId="168" fontId="7" fillId="4" borderId="1" xfId="0" applyNumberFormat="1" applyFont="1" applyFill="1" applyBorder="1"/>
    <xf numFmtId="168" fontId="7" fillId="4" borderId="2" xfId="0" applyNumberFormat="1" applyFont="1" applyFill="1" applyBorder="1"/>
    <xf numFmtId="168" fontId="9" fillId="4" borderId="0" xfId="0" applyNumberFormat="1" applyFont="1" applyFill="1" applyBorder="1"/>
    <xf numFmtId="168" fontId="7" fillId="4" borderId="0" xfId="0" applyNumberFormat="1" applyFont="1" applyFill="1" applyBorder="1"/>
    <xf numFmtId="168" fontId="7" fillId="4" borderId="3" xfId="0" applyNumberFormat="1" applyFont="1" applyFill="1" applyBorder="1"/>
    <xf numFmtId="168" fontId="9" fillId="4" borderId="7" xfId="0" applyNumberFormat="1" applyFont="1" applyFill="1" applyBorder="1"/>
    <xf numFmtId="168" fontId="7" fillId="4" borderId="7" xfId="0" applyNumberFormat="1" applyFont="1" applyFill="1" applyBorder="1"/>
    <xf numFmtId="168" fontId="7" fillId="4" borderId="8" xfId="0" applyNumberFormat="1" applyFont="1" applyFill="1" applyBorder="1"/>
    <xf numFmtId="167" fontId="6" fillId="4" borderId="1" xfId="0" applyNumberFormat="1" applyFont="1" applyFill="1" applyBorder="1"/>
    <xf numFmtId="167" fontId="6" fillId="4" borderId="2" xfId="0" applyNumberFormat="1" applyFont="1" applyFill="1" applyBorder="1"/>
    <xf numFmtId="167" fontId="9" fillId="4" borderId="0" xfId="0" applyNumberFormat="1" applyFont="1" applyFill="1" applyBorder="1"/>
    <xf numFmtId="167" fontId="9" fillId="4" borderId="3" xfId="0" applyNumberFormat="1" applyFont="1" applyFill="1" applyBorder="1"/>
    <xf numFmtId="167" fontId="9" fillId="4" borderId="7" xfId="0" applyNumberFormat="1" applyFont="1" applyFill="1" applyBorder="1"/>
    <xf numFmtId="167" fontId="9" fillId="4" borderId="8" xfId="0" applyNumberFormat="1" applyFont="1" applyFill="1" applyBorder="1"/>
    <xf numFmtId="166" fontId="11" fillId="4" borderId="1" xfId="0" applyNumberFormat="1" applyFont="1" applyFill="1" applyBorder="1"/>
    <xf numFmtId="166" fontId="7" fillId="4" borderId="0" xfId="0" applyNumberFormat="1" applyFont="1" applyFill="1"/>
    <xf numFmtId="167" fontId="7" fillId="4" borderId="0" xfId="0" applyNumberFormat="1" applyFont="1" applyFill="1"/>
    <xf numFmtId="166" fontId="12" fillId="4" borderId="0" xfId="0" applyNumberFormat="1" applyFont="1" applyFill="1"/>
    <xf numFmtId="166" fontId="11" fillId="4" borderId="9" xfId="0" applyNumberFormat="1" applyFont="1" applyFill="1" applyBorder="1"/>
    <xf numFmtId="0" fontId="4" fillId="4" borderId="0" xfId="0" applyFont="1" applyFill="1"/>
    <xf numFmtId="165" fontId="4" fillId="4" borderId="0" xfId="0" applyNumberFormat="1" applyFont="1" applyFill="1"/>
    <xf numFmtId="171" fontId="0" fillId="4" borderId="0" xfId="0" applyNumberFormat="1" applyFill="1"/>
    <xf numFmtId="166" fontId="1" fillId="4" borderId="0" xfId="0" applyNumberFormat="1" applyFont="1" applyFill="1"/>
    <xf numFmtId="166" fontId="1" fillId="4" borderId="9" xfId="0" applyNumberFormat="1" applyFont="1" applyFill="1" applyBorder="1"/>
    <xf numFmtId="168" fontId="0" fillId="4" borderId="0" xfId="0" applyNumberFormat="1" applyFill="1"/>
    <xf numFmtId="165" fontId="1" fillId="4" borderId="1" xfId="0" applyNumberFormat="1" applyFont="1" applyFill="1" applyBorder="1"/>
    <xf numFmtId="167" fontId="0" fillId="4" borderId="0" xfId="0" applyNumberFormat="1" applyFill="1" applyBorder="1"/>
    <xf numFmtId="167" fontId="1" fillId="4" borderId="1" xfId="0" applyNumberFormat="1" applyFont="1" applyFill="1" applyBorder="1"/>
    <xf numFmtId="166" fontId="0" fillId="4" borderId="0" xfId="0" applyNumberFormat="1" applyFill="1" applyAlignment="1">
      <alignment horizontal="center"/>
    </xf>
    <xf numFmtId="168" fontId="0" fillId="4" borderId="0" xfId="0" applyNumberFormat="1" applyFill="1" applyAlignment="1">
      <alignment horizontal="center"/>
    </xf>
    <xf numFmtId="172" fontId="0" fillId="4" borderId="0" xfId="0" applyNumberFormat="1" applyFill="1" applyAlignment="1">
      <alignment horizontal="center"/>
    </xf>
    <xf numFmtId="169" fontId="1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533400</xdr:colOff>
      <xdr:row>1</xdr:row>
      <xdr:rowOff>180118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E34E59-30E2-4954-9CDB-28FA7B0E2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0" y="127000"/>
          <a:ext cx="1371600" cy="1801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533400</xdr:colOff>
      <xdr:row>1</xdr:row>
      <xdr:rowOff>180118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836B63-E360-4133-ABA9-BB6F574D3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0" y="127000"/>
          <a:ext cx="1371600" cy="1801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ED2FD-1336-4C4C-A68E-C4B6F8EF866C}">
  <sheetPr>
    <tabColor theme="7" tint="0.79998168889431442"/>
  </sheetPr>
  <dimension ref="A1:M124"/>
  <sheetViews>
    <sheetView showGridLines="0" tabSelected="1" zoomScale="80" zoomScaleNormal="80" workbookViewId="0"/>
  </sheetViews>
  <sheetFormatPr defaultRowHeight="14.5" x14ac:dyDescent="0.4"/>
  <cols>
    <col min="1" max="1" width="2.19921875" customWidth="1"/>
    <col min="2" max="12" width="13.19921875" customWidth="1"/>
  </cols>
  <sheetData>
    <row r="1" spans="2:12" ht="10" customHeight="1" x14ac:dyDescent="0.4"/>
    <row r="3" spans="2:12" x14ac:dyDescent="0.4">
      <c r="B3" s="1" t="s">
        <v>110</v>
      </c>
    </row>
    <row r="5" spans="2:12" x14ac:dyDescent="0.4">
      <c r="B5" s="57" t="s">
        <v>17</v>
      </c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2:12" x14ac:dyDescent="0.4">
      <c r="B6" s="26"/>
      <c r="C6" s="26"/>
      <c r="D6" s="26"/>
    </row>
    <row r="7" spans="2:12" x14ac:dyDescent="0.4">
      <c r="B7" s="61" t="s">
        <v>0</v>
      </c>
      <c r="C7" s="62"/>
      <c r="D7" s="62"/>
      <c r="F7" s="61" t="s">
        <v>5</v>
      </c>
      <c r="G7" s="62"/>
      <c r="H7" s="62"/>
      <c r="J7" s="61" t="s">
        <v>48</v>
      </c>
      <c r="K7" s="62"/>
      <c r="L7" s="62"/>
    </row>
    <row r="8" spans="2:12" x14ac:dyDescent="0.4">
      <c r="B8" s="26" t="s">
        <v>1</v>
      </c>
      <c r="C8" s="26"/>
      <c r="D8" s="111"/>
      <c r="F8" t="s">
        <v>6</v>
      </c>
      <c r="H8" s="118"/>
      <c r="J8" s="20" t="s">
        <v>38</v>
      </c>
      <c r="L8" s="126"/>
    </row>
    <row r="9" spans="2:12" x14ac:dyDescent="0.4">
      <c r="B9" t="s">
        <v>2</v>
      </c>
      <c r="D9" s="112"/>
      <c r="F9" t="s">
        <v>7</v>
      </c>
      <c r="H9" s="119"/>
      <c r="J9" s="20" t="s">
        <v>45</v>
      </c>
      <c r="L9" s="124"/>
    </row>
    <row r="10" spans="2:12" x14ac:dyDescent="0.4">
      <c r="B10" t="s">
        <v>3</v>
      </c>
      <c r="D10" s="112"/>
      <c r="F10" t="s">
        <v>8</v>
      </c>
      <c r="H10" s="120"/>
      <c r="I10" s="23"/>
      <c r="J10" s="20"/>
    </row>
    <row r="11" spans="2:12" x14ac:dyDescent="0.4">
      <c r="J11" s="20" t="s">
        <v>32</v>
      </c>
      <c r="L11" s="124"/>
    </row>
    <row r="12" spans="2:12" x14ac:dyDescent="0.4">
      <c r="B12" s="61" t="s">
        <v>13</v>
      </c>
      <c r="C12" s="62"/>
      <c r="D12" s="62"/>
      <c r="F12" s="61" t="s">
        <v>9</v>
      </c>
      <c r="G12" s="62"/>
      <c r="H12" s="62"/>
      <c r="J12" s="3" t="s">
        <v>33</v>
      </c>
      <c r="L12" s="127"/>
    </row>
    <row r="13" spans="2:12" x14ac:dyDescent="0.4">
      <c r="B13" t="s">
        <v>14</v>
      </c>
      <c r="C13" s="113"/>
      <c r="D13" s="121"/>
      <c r="F13" t="s">
        <v>10</v>
      </c>
      <c r="H13" s="123"/>
      <c r="J13" s="66" t="s">
        <v>47</v>
      </c>
      <c r="K13" s="130"/>
      <c r="L13" s="128"/>
    </row>
    <row r="14" spans="2:12" x14ac:dyDescent="0.4">
      <c r="B14" t="s">
        <v>15</v>
      </c>
      <c r="D14" s="114"/>
      <c r="F14" t="s">
        <v>11</v>
      </c>
      <c r="H14" s="115"/>
      <c r="J14" s="67" t="s">
        <v>34</v>
      </c>
      <c r="K14" s="30"/>
      <c r="L14" s="129"/>
    </row>
    <row r="15" spans="2:12" x14ac:dyDescent="0.4">
      <c r="B15" t="s">
        <v>16</v>
      </c>
      <c r="D15" s="115"/>
      <c r="F15" t="s">
        <v>12</v>
      </c>
      <c r="H15" s="124"/>
      <c r="J15" s="26" t="s">
        <v>35</v>
      </c>
      <c r="K15" s="26"/>
      <c r="L15" s="128"/>
    </row>
    <row r="16" spans="2:12" x14ac:dyDescent="0.4">
      <c r="B16" t="s">
        <v>70</v>
      </c>
      <c r="D16" s="115"/>
      <c r="F16" s="16"/>
      <c r="H16" s="3"/>
      <c r="J16" s="53" t="s">
        <v>37</v>
      </c>
      <c r="K16" s="53"/>
      <c r="L16" s="122"/>
    </row>
    <row r="17" spans="1:13" x14ac:dyDescent="0.4">
      <c r="D17" s="11"/>
      <c r="F17" s="61" t="s">
        <v>25</v>
      </c>
      <c r="G17" s="62"/>
      <c r="H17" s="62"/>
    </row>
    <row r="18" spans="1:13" x14ac:dyDescent="0.4">
      <c r="B18" s="61" t="s">
        <v>22</v>
      </c>
      <c r="C18" s="62"/>
      <c r="D18" s="62"/>
      <c r="F18" t="s">
        <v>20</v>
      </c>
      <c r="H18" s="125"/>
      <c r="J18" s="61" t="s">
        <v>49</v>
      </c>
      <c r="K18" s="62"/>
      <c r="L18" s="62"/>
    </row>
    <row r="19" spans="1:13" x14ac:dyDescent="0.4">
      <c r="B19" t="s">
        <v>23</v>
      </c>
      <c r="D19" s="116"/>
      <c r="F19" t="s">
        <v>26</v>
      </c>
      <c r="H19" s="124"/>
      <c r="K19" s="21" t="s">
        <v>50</v>
      </c>
      <c r="L19" s="21" t="s">
        <v>51</v>
      </c>
    </row>
    <row r="20" spans="1:13" x14ac:dyDescent="0.4">
      <c r="B20" s="26" t="s">
        <v>24</v>
      </c>
      <c r="C20" s="26"/>
      <c r="D20" s="117"/>
      <c r="F20" t="s">
        <v>27</v>
      </c>
      <c r="H20" s="120"/>
      <c r="J20" t="s">
        <v>40</v>
      </c>
      <c r="K20" s="125"/>
      <c r="L20" s="127"/>
    </row>
    <row r="21" spans="1:13" x14ac:dyDescent="0.4">
      <c r="B21" s="53" t="s">
        <v>51</v>
      </c>
      <c r="C21" s="53"/>
      <c r="D21" s="122"/>
      <c r="F21" t="s">
        <v>28</v>
      </c>
      <c r="H21" s="126"/>
      <c r="J21" t="s">
        <v>41</v>
      </c>
      <c r="K21" s="125"/>
      <c r="L21" s="127"/>
    </row>
    <row r="22" spans="1:13" x14ac:dyDescent="0.4">
      <c r="J22" t="s">
        <v>42</v>
      </c>
      <c r="K22" s="125"/>
      <c r="L22" s="127"/>
    </row>
    <row r="23" spans="1:13" x14ac:dyDescent="0.4">
      <c r="J23" t="s">
        <v>43</v>
      </c>
      <c r="K23" s="125"/>
      <c r="L23" s="127"/>
    </row>
    <row r="24" spans="1:13" x14ac:dyDescent="0.4">
      <c r="J24" s="26" t="s">
        <v>44</v>
      </c>
      <c r="K24" s="131"/>
      <c r="L24" s="128"/>
    </row>
    <row r="25" spans="1:13" x14ac:dyDescent="0.4">
      <c r="J25" s="53" t="s">
        <v>75</v>
      </c>
      <c r="K25" s="122"/>
      <c r="L25" s="122"/>
    </row>
    <row r="27" spans="1:13" x14ac:dyDescent="0.4">
      <c r="B27" s="61" t="s">
        <v>109</v>
      </c>
      <c r="C27" s="61"/>
      <c r="D27" s="61"/>
      <c r="E27" s="61"/>
      <c r="F27" s="61"/>
      <c r="G27" s="61"/>
      <c r="H27" s="61"/>
      <c r="I27" s="61"/>
      <c r="J27" s="61"/>
      <c r="K27" s="61"/>
      <c r="L27" s="61"/>
    </row>
    <row r="29" spans="1:13" x14ac:dyDescent="0.4">
      <c r="F29" s="88">
        <v>0</v>
      </c>
      <c r="G29" s="89">
        <v>1</v>
      </c>
      <c r="H29" s="89">
        <v>2</v>
      </c>
      <c r="I29" s="89">
        <v>3</v>
      </c>
      <c r="J29" s="89">
        <v>4</v>
      </c>
      <c r="K29" s="89">
        <v>5</v>
      </c>
      <c r="L29" s="89">
        <v>6</v>
      </c>
    </row>
    <row r="30" spans="1:13" x14ac:dyDescent="0.4">
      <c r="A30" s="26"/>
      <c r="B30" s="35" t="s">
        <v>38</v>
      </c>
      <c r="C30" s="30"/>
      <c r="D30" s="30"/>
      <c r="E30" s="30"/>
      <c r="F30" s="30"/>
      <c r="G30" s="132"/>
      <c r="H30" s="132"/>
      <c r="I30" s="132"/>
      <c r="J30" s="132"/>
      <c r="K30" s="133"/>
      <c r="L30" s="134"/>
      <c r="M30" s="26"/>
    </row>
    <row r="31" spans="1:13" x14ac:dyDescent="0.4">
      <c r="A31" s="26"/>
      <c r="B31" s="36" t="s">
        <v>31</v>
      </c>
      <c r="C31" s="26"/>
      <c r="D31" s="26"/>
      <c r="E31" s="26"/>
      <c r="F31" s="26"/>
      <c r="G31" s="135"/>
      <c r="H31" s="135"/>
      <c r="I31" s="135"/>
      <c r="J31" s="136"/>
      <c r="K31" s="136"/>
      <c r="L31" s="137"/>
      <c r="M31" s="26"/>
    </row>
    <row r="32" spans="1:13" x14ac:dyDescent="0.4">
      <c r="A32" s="26"/>
      <c r="B32" s="36" t="s">
        <v>52</v>
      </c>
      <c r="C32" s="26"/>
      <c r="D32" s="26"/>
      <c r="E32" s="26"/>
      <c r="F32" s="26"/>
      <c r="G32" s="135"/>
      <c r="H32" s="135"/>
      <c r="I32" s="136"/>
      <c r="J32" s="136"/>
      <c r="K32" s="136"/>
      <c r="L32" s="137"/>
      <c r="M32" s="26"/>
    </row>
    <row r="33" spans="1:13" x14ac:dyDescent="0.4">
      <c r="A33" s="26"/>
      <c r="B33" s="37" t="s">
        <v>53</v>
      </c>
      <c r="C33" s="38"/>
      <c r="D33" s="38"/>
      <c r="E33" s="38"/>
      <c r="F33" s="38"/>
      <c r="G33" s="138"/>
      <c r="H33" s="138"/>
      <c r="I33" s="139"/>
      <c r="J33" s="139"/>
      <c r="K33" s="139"/>
      <c r="L33" s="140"/>
      <c r="M33" s="26"/>
    </row>
    <row r="34" spans="1:13" x14ac:dyDescent="0.4"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</row>
    <row r="35" spans="1:13" x14ac:dyDescent="0.4">
      <c r="A35" s="26"/>
      <c r="B35" s="35" t="s">
        <v>108</v>
      </c>
      <c r="C35" s="30"/>
      <c r="D35" s="30"/>
      <c r="E35" s="30"/>
      <c r="F35" s="30"/>
      <c r="G35" s="141"/>
      <c r="H35" s="141"/>
      <c r="I35" s="141"/>
      <c r="J35" s="141"/>
      <c r="K35" s="141"/>
      <c r="L35" s="142"/>
      <c r="M35" s="26"/>
    </row>
    <row r="36" spans="1:13" x14ac:dyDescent="0.4">
      <c r="A36" s="26"/>
      <c r="B36" s="46" t="s">
        <v>57</v>
      </c>
      <c r="C36" s="26"/>
      <c r="D36" s="26"/>
      <c r="E36" s="26"/>
      <c r="F36" s="26"/>
      <c r="G36" s="143"/>
      <c r="H36" s="143"/>
      <c r="I36" s="143"/>
      <c r="J36" s="143"/>
      <c r="K36" s="143"/>
      <c r="L36" s="144"/>
      <c r="M36" s="26"/>
    </row>
    <row r="37" spans="1:13" x14ac:dyDescent="0.4">
      <c r="A37" s="26"/>
      <c r="B37" s="47" t="s">
        <v>58</v>
      </c>
      <c r="C37" s="38"/>
      <c r="D37" s="38"/>
      <c r="E37" s="38"/>
      <c r="F37" s="38"/>
      <c r="G37" s="145"/>
      <c r="H37" s="145"/>
      <c r="I37" s="145"/>
      <c r="J37" s="145"/>
      <c r="K37" s="145"/>
      <c r="L37" s="146"/>
      <c r="M37" s="26"/>
    </row>
    <row r="39" spans="1:13" x14ac:dyDescent="0.4">
      <c r="B39" s="57" t="s">
        <v>18</v>
      </c>
      <c r="C39" s="58"/>
      <c r="D39" s="58"/>
      <c r="E39" s="58"/>
      <c r="F39" s="58"/>
      <c r="G39" s="58"/>
      <c r="H39" s="58"/>
      <c r="I39" s="58"/>
      <c r="J39" s="58"/>
      <c r="K39" s="58"/>
      <c r="L39" s="58"/>
    </row>
    <row r="41" spans="1:13" x14ac:dyDescent="0.4">
      <c r="D41" s="45" t="s">
        <v>19</v>
      </c>
      <c r="F41" s="13">
        <v>0</v>
      </c>
      <c r="G41" s="15">
        <f>F41+1</f>
        <v>1</v>
      </c>
      <c r="H41" s="15">
        <f t="shared" ref="H41:L41" si="0">G41+1</f>
        <v>2</v>
      </c>
      <c r="I41" s="15">
        <f>H41+1</f>
        <v>3</v>
      </c>
      <c r="J41" s="15">
        <f t="shared" si="0"/>
        <v>4</v>
      </c>
      <c r="K41" s="15">
        <f t="shared" si="0"/>
        <v>5</v>
      </c>
      <c r="L41" s="15">
        <f t="shared" si="0"/>
        <v>6</v>
      </c>
    </row>
    <row r="42" spans="1:13" x14ac:dyDescent="0.4">
      <c r="D42" s="21" t="s">
        <v>54</v>
      </c>
      <c r="F42" s="14">
        <v>44196</v>
      </c>
      <c r="G42" s="14">
        <f>EOMONTH(F42,12)</f>
        <v>44561</v>
      </c>
      <c r="H42" s="14">
        <f t="shared" ref="H42:L42" si="1">EOMONTH(G42,12)</f>
        <v>44926</v>
      </c>
      <c r="I42" s="14">
        <f>EOMONTH(H42,12)</f>
        <v>45291</v>
      </c>
      <c r="J42" s="14">
        <f t="shared" si="1"/>
        <v>45657</v>
      </c>
      <c r="K42" s="14">
        <f t="shared" si="1"/>
        <v>46022</v>
      </c>
      <c r="L42" s="14">
        <f t="shared" si="1"/>
        <v>46387</v>
      </c>
    </row>
    <row r="43" spans="1:13" x14ac:dyDescent="0.4"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</row>
    <row r="44" spans="1:13" x14ac:dyDescent="0.4">
      <c r="B44" t="s">
        <v>20</v>
      </c>
      <c r="F44" s="125"/>
      <c r="G44" s="125"/>
      <c r="H44" s="125"/>
      <c r="I44" s="125"/>
      <c r="J44" s="125"/>
      <c r="K44" s="125"/>
      <c r="L44" s="125"/>
    </row>
    <row r="45" spans="1:13" x14ac:dyDescent="0.4">
      <c r="B45" t="s">
        <v>21</v>
      </c>
      <c r="F45" s="152"/>
      <c r="G45" s="153"/>
      <c r="H45" s="153"/>
      <c r="I45" s="153"/>
      <c r="J45" s="153"/>
      <c r="K45" s="153"/>
      <c r="L45" s="153"/>
    </row>
    <row r="47" spans="1:13" x14ac:dyDescent="0.4">
      <c r="B47" t="s">
        <v>29</v>
      </c>
      <c r="F47" s="124"/>
      <c r="G47" s="154"/>
      <c r="H47" s="154"/>
      <c r="I47" s="154"/>
      <c r="J47" s="154"/>
      <c r="K47" s="154"/>
      <c r="L47" s="154"/>
    </row>
    <row r="48" spans="1:13" x14ac:dyDescent="0.4">
      <c r="B48" t="s">
        <v>30</v>
      </c>
      <c r="F48" s="124"/>
      <c r="G48" s="124"/>
      <c r="H48" s="124"/>
      <c r="I48" s="124"/>
      <c r="J48" s="124"/>
      <c r="K48" s="124"/>
      <c r="L48" s="124"/>
    </row>
    <row r="50" spans="2:12" x14ac:dyDescent="0.4">
      <c r="B50" t="s">
        <v>32</v>
      </c>
      <c r="D50" s="116"/>
      <c r="G50" s="127"/>
      <c r="H50" s="127"/>
      <c r="I50" s="127"/>
      <c r="J50" s="127"/>
      <c r="K50" s="127"/>
      <c r="L50" s="127"/>
    </row>
    <row r="51" spans="2:12" x14ac:dyDescent="0.4">
      <c r="B51" s="16" t="s">
        <v>33</v>
      </c>
      <c r="D51" s="116"/>
      <c r="G51" s="127"/>
      <c r="H51" s="127"/>
      <c r="I51" s="127"/>
      <c r="J51" s="127"/>
      <c r="K51" s="127"/>
      <c r="L51" s="127"/>
    </row>
    <row r="52" spans="2:12" x14ac:dyDescent="0.4">
      <c r="B52" s="68" t="s">
        <v>47</v>
      </c>
      <c r="C52" s="26"/>
      <c r="D52" s="117"/>
      <c r="E52" s="26"/>
      <c r="F52" s="26"/>
      <c r="G52" s="128"/>
      <c r="H52" s="128"/>
      <c r="I52" s="128"/>
      <c r="J52" s="128"/>
      <c r="K52" s="128"/>
      <c r="L52" s="128"/>
    </row>
    <row r="53" spans="2:12" x14ac:dyDescent="0.4">
      <c r="B53" s="53" t="s">
        <v>34</v>
      </c>
      <c r="C53" s="53"/>
      <c r="D53" s="147"/>
      <c r="E53" s="63"/>
      <c r="F53" s="63"/>
      <c r="G53" s="122"/>
      <c r="H53" s="122"/>
      <c r="I53" s="122"/>
      <c r="J53" s="122"/>
      <c r="K53" s="122"/>
      <c r="L53" s="122"/>
    </row>
    <row r="54" spans="2:12" x14ac:dyDescent="0.4">
      <c r="B54" s="44" t="s">
        <v>45</v>
      </c>
      <c r="D54" s="148"/>
      <c r="E54" s="43"/>
      <c r="F54" s="43"/>
      <c r="G54" s="148"/>
      <c r="H54" s="148"/>
      <c r="I54" s="148"/>
      <c r="J54" s="148"/>
      <c r="K54" s="148"/>
      <c r="L54" s="148"/>
    </row>
    <row r="55" spans="2:12" x14ac:dyDescent="0.4">
      <c r="B55" s="44" t="s">
        <v>46</v>
      </c>
      <c r="D55" s="149"/>
      <c r="E55" s="18"/>
      <c r="F55" s="18"/>
      <c r="G55" s="149"/>
      <c r="H55" s="149"/>
      <c r="I55" s="149"/>
      <c r="J55" s="149"/>
      <c r="K55" s="149"/>
      <c r="L55" s="149"/>
    </row>
    <row r="57" spans="2:12" x14ac:dyDescent="0.4">
      <c r="B57" s="1" t="s">
        <v>36</v>
      </c>
      <c r="C57" s="1"/>
      <c r="D57" s="150"/>
      <c r="E57" s="64"/>
      <c r="F57" s="64"/>
      <c r="G57" s="155"/>
      <c r="H57" s="155"/>
      <c r="I57" s="155"/>
      <c r="J57" s="155"/>
      <c r="K57" s="155"/>
      <c r="L57" s="155"/>
    </row>
    <row r="59" spans="2:12" x14ac:dyDescent="0.4">
      <c r="B59" s="53" t="s">
        <v>37</v>
      </c>
      <c r="C59" s="53"/>
      <c r="D59" s="147"/>
      <c r="E59" s="63"/>
      <c r="F59" s="63"/>
      <c r="G59" s="122"/>
      <c r="H59" s="122"/>
      <c r="I59" s="122"/>
      <c r="J59" s="122"/>
      <c r="K59" s="122"/>
      <c r="L59" s="122"/>
    </row>
    <row r="61" spans="2:12" x14ac:dyDescent="0.4">
      <c r="B61" t="s">
        <v>40</v>
      </c>
      <c r="D61" s="116"/>
      <c r="G61" s="127"/>
      <c r="H61" s="127"/>
      <c r="I61" s="127"/>
      <c r="J61" s="127"/>
      <c r="K61" s="127"/>
      <c r="L61" s="127"/>
    </row>
    <row r="62" spans="2:12" x14ac:dyDescent="0.4">
      <c r="B62" t="s">
        <v>41</v>
      </c>
      <c r="D62" s="116"/>
      <c r="G62" s="127"/>
      <c r="H62" s="127"/>
      <c r="I62" s="127"/>
      <c r="J62" s="127"/>
      <c r="K62" s="127"/>
      <c r="L62" s="127"/>
    </row>
    <row r="63" spans="2:12" x14ac:dyDescent="0.4">
      <c r="B63" t="s">
        <v>42</v>
      </c>
      <c r="D63" s="116"/>
      <c r="G63" s="127"/>
      <c r="H63" s="127"/>
      <c r="I63" s="127"/>
      <c r="J63" s="127"/>
      <c r="K63" s="127"/>
      <c r="L63" s="127"/>
    </row>
    <row r="64" spans="2:12" x14ac:dyDescent="0.4">
      <c r="B64" t="s">
        <v>43</v>
      </c>
      <c r="D64" s="116"/>
      <c r="G64" s="127"/>
      <c r="H64" s="127"/>
      <c r="I64" s="127"/>
      <c r="J64" s="127"/>
      <c r="K64" s="127"/>
      <c r="L64" s="127"/>
    </row>
    <row r="65" spans="1:12" x14ac:dyDescent="0.4">
      <c r="B65" t="s">
        <v>44</v>
      </c>
      <c r="D65" s="116"/>
      <c r="G65" s="127"/>
      <c r="H65" s="127"/>
      <c r="I65" s="127"/>
      <c r="J65" s="127"/>
      <c r="K65" s="127"/>
      <c r="L65" s="127"/>
    </row>
    <row r="66" spans="1:12" x14ac:dyDescent="0.4">
      <c r="B66" s="53" t="s">
        <v>75</v>
      </c>
      <c r="C66" s="53"/>
      <c r="D66" s="147"/>
      <c r="E66" s="63"/>
      <c r="F66" s="63"/>
      <c r="G66" s="122"/>
      <c r="H66" s="122"/>
      <c r="I66" s="122"/>
      <c r="J66" s="122"/>
      <c r="K66" s="122"/>
      <c r="L66" s="122"/>
    </row>
    <row r="68" spans="1:12" x14ac:dyDescent="0.4">
      <c r="B68" s="60" t="s">
        <v>76</v>
      </c>
      <c r="C68" s="60"/>
      <c r="D68" s="151"/>
      <c r="E68" s="73"/>
      <c r="F68" s="73"/>
      <c r="G68" s="156"/>
      <c r="H68" s="156"/>
      <c r="I68" s="156"/>
      <c r="J68" s="156"/>
      <c r="K68" s="156"/>
      <c r="L68" s="156"/>
    </row>
    <row r="69" spans="1:12" x14ac:dyDescent="0.4"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</row>
    <row r="70" spans="1:12" x14ac:dyDescent="0.4">
      <c r="B70" t="s">
        <v>56</v>
      </c>
      <c r="G70" s="127"/>
      <c r="H70" s="127"/>
      <c r="I70" s="127"/>
      <c r="J70" s="127"/>
      <c r="K70" s="127"/>
    </row>
    <row r="71" spans="1:12" x14ac:dyDescent="0.4">
      <c r="B71" t="s">
        <v>55</v>
      </c>
      <c r="G71" s="127"/>
      <c r="H71" s="127"/>
      <c r="I71" s="127"/>
      <c r="J71" s="127"/>
      <c r="K71" s="127"/>
    </row>
    <row r="72" spans="1:12" x14ac:dyDescent="0.4">
      <c r="B72" s="53" t="s">
        <v>59</v>
      </c>
      <c r="C72" s="53"/>
      <c r="D72" s="70"/>
      <c r="E72" s="63"/>
      <c r="F72" s="63"/>
      <c r="G72" s="122"/>
      <c r="H72" s="122"/>
      <c r="I72" s="122"/>
      <c r="J72" s="122"/>
      <c r="K72" s="122"/>
    </row>
    <row r="74" spans="1:12" x14ac:dyDescent="0.4">
      <c r="B74" t="s">
        <v>8</v>
      </c>
      <c r="F74" s="127"/>
    </row>
    <row r="75" spans="1:12" x14ac:dyDescent="0.4">
      <c r="B75" t="s">
        <v>60</v>
      </c>
      <c r="G75" s="127"/>
      <c r="H75" s="127"/>
      <c r="I75" s="127"/>
      <c r="J75" s="127"/>
      <c r="K75" s="127"/>
    </row>
    <row r="76" spans="1:12" x14ac:dyDescent="0.4">
      <c r="B76" s="53" t="s">
        <v>61</v>
      </c>
      <c r="C76" s="53"/>
      <c r="D76" s="70"/>
      <c r="E76" s="63"/>
      <c r="F76" s="122"/>
      <c r="G76" s="122"/>
      <c r="H76" s="122"/>
      <c r="I76" s="122"/>
      <c r="J76" s="122"/>
      <c r="K76" s="122"/>
    </row>
    <row r="78" spans="1:12" x14ac:dyDescent="0.4">
      <c r="B78" s="60" t="s">
        <v>62</v>
      </c>
      <c r="C78" s="60"/>
      <c r="D78" s="72"/>
      <c r="E78" s="73"/>
      <c r="F78" s="156"/>
      <c r="G78" s="156"/>
      <c r="H78" s="156"/>
      <c r="I78" s="156"/>
      <c r="J78" s="156"/>
      <c r="K78" s="156"/>
    </row>
    <row r="79" spans="1:12" x14ac:dyDescent="0.4">
      <c r="B79" s="26"/>
      <c r="C79" s="26"/>
      <c r="D79" s="26"/>
    </row>
    <row r="80" spans="1:12" x14ac:dyDescent="0.4">
      <c r="A80" s="26"/>
      <c r="B80" s="92" t="s">
        <v>66</v>
      </c>
      <c r="C80" s="102"/>
      <c r="D80" s="103"/>
      <c r="E80" s="26"/>
    </row>
    <row r="81" spans="1:11" x14ac:dyDescent="0.4">
      <c r="A81" s="26"/>
      <c r="B81" s="104" t="s">
        <v>63</v>
      </c>
      <c r="C81" s="105"/>
      <c r="D81" s="106"/>
      <c r="E81" s="26"/>
    </row>
    <row r="82" spans="1:11" x14ac:dyDescent="0.4">
      <c r="A82" s="26"/>
      <c r="B82" s="104" t="s">
        <v>64</v>
      </c>
      <c r="C82" s="105"/>
      <c r="D82" s="107"/>
      <c r="E82" s="26"/>
    </row>
    <row r="83" spans="1:11" x14ac:dyDescent="0.4">
      <c r="A83" s="26"/>
      <c r="B83" s="108" t="s">
        <v>65</v>
      </c>
      <c r="C83" s="109"/>
      <c r="D83" s="110"/>
      <c r="E83" s="26"/>
    </row>
    <row r="84" spans="1:11" x14ac:dyDescent="0.4">
      <c r="B84" s="26"/>
      <c r="C84" s="26"/>
      <c r="D84" s="26"/>
    </row>
    <row r="85" spans="1:11" x14ac:dyDescent="0.4">
      <c r="B85" s="55" t="s">
        <v>67</v>
      </c>
      <c r="G85" s="54">
        <v>1.4999999999999999E-2</v>
      </c>
      <c r="H85" s="54">
        <v>1.7000000000000001E-2</v>
      </c>
      <c r="I85" s="54">
        <v>1.9000000000000003E-2</v>
      </c>
      <c r="J85" s="54">
        <v>2.1000000000000005E-2</v>
      </c>
      <c r="K85" s="54">
        <v>2.3000000000000007E-2</v>
      </c>
    </row>
    <row r="86" spans="1:11" x14ac:dyDescent="0.4">
      <c r="B86" s="55" t="s">
        <v>15</v>
      </c>
      <c r="G86" s="157"/>
      <c r="H86" s="157"/>
      <c r="I86" s="157"/>
      <c r="J86" s="157"/>
      <c r="K86" s="157"/>
    </row>
    <row r="87" spans="1:11" x14ac:dyDescent="0.4">
      <c r="B87" s="55" t="s">
        <v>73</v>
      </c>
      <c r="G87" s="127"/>
      <c r="H87" s="127"/>
      <c r="I87" s="127"/>
      <c r="J87" s="127"/>
      <c r="K87" s="127"/>
    </row>
    <row r="89" spans="1:11" x14ac:dyDescent="0.4">
      <c r="B89" t="s">
        <v>16</v>
      </c>
      <c r="F89" s="127"/>
      <c r="G89" s="6"/>
      <c r="H89" s="6"/>
      <c r="I89" s="6"/>
      <c r="J89" s="6"/>
      <c r="K89" s="6"/>
    </row>
    <row r="90" spans="1:11" x14ac:dyDescent="0.4">
      <c r="B90" t="s">
        <v>68</v>
      </c>
      <c r="F90" s="24"/>
      <c r="G90" s="127"/>
      <c r="H90" s="127"/>
      <c r="I90" s="127"/>
      <c r="J90" s="127"/>
      <c r="K90" s="127"/>
    </row>
    <row r="91" spans="1:11" x14ac:dyDescent="0.4">
      <c r="B91" t="s">
        <v>69</v>
      </c>
      <c r="F91" s="127"/>
      <c r="G91" s="6"/>
      <c r="H91" s="6"/>
      <c r="I91" s="6"/>
      <c r="J91" s="6"/>
      <c r="K91" s="6"/>
    </row>
    <row r="92" spans="1:11" x14ac:dyDescent="0.4">
      <c r="B92" t="s">
        <v>70</v>
      </c>
      <c r="F92" s="6"/>
      <c r="G92" s="127"/>
      <c r="H92" s="127"/>
      <c r="I92" s="127"/>
      <c r="J92" s="127"/>
      <c r="K92" s="127"/>
    </row>
    <row r="93" spans="1:11" x14ac:dyDescent="0.4">
      <c r="B93" s="26" t="s">
        <v>71</v>
      </c>
      <c r="C93" s="26"/>
      <c r="D93" s="26"/>
      <c r="E93" s="26"/>
      <c r="F93" s="52"/>
      <c r="G93" s="52"/>
      <c r="H93" s="52"/>
      <c r="I93" s="52"/>
      <c r="J93" s="52"/>
      <c r="K93" s="128"/>
    </row>
    <row r="94" spans="1:11" x14ac:dyDescent="0.4">
      <c r="B94" s="53" t="s">
        <v>72</v>
      </c>
      <c r="C94" s="53"/>
      <c r="D94" s="53"/>
      <c r="E94" s="53"/>
      <c r="F94" s="158"/>
      <c r="G94" s="158"/>
      <c r="H94" s="158"/>
      <c r="I94" s="158"/>
      <c r="J94" s="158"/>
      <c r="K94" s="158"/>
    </row>
    <row r="96" spans="1:11" x14ac:dyDescent="0.4">
      <c r="B96" s="60" t="s">
        <v>74</v>
      </c>
      <c r="C96" s="60"/>
      <c r="D96" s="72"/>
      <c r="E96" s="73"/>
      <c r="F96" s="156"/>
      <c r="G96" s="156"/>
      <c r="H96" s="156"/>
      <c r="I96" s="156"/>
      <c r="J96" s="156"/>
      <c r="K96" s="156"/>
    </row>
    <row r="98" spans="2:12" x14ac:dyDescent="0.4">
      <c r="B98" s="92" t="s">
        <v>66</v>
      </c>
      <c r="C98" s="102"/>
      <c r="D98" s="103"/>
    </row>
    <row r="99" spans="2:12" x14ac:dyDescent="0.4">
      <c r="B99" s="104" t="s">
        <v>63</v>
      </c>
      <c r="C99" s="105"/>
      <c r="D99" s="106"/>
    </row>
    <row r="100" spans="2:12" x14ac:dyDescent="0.4">
      <c r="B100" s="104" t="s">
        <v>64</v>
      </c>
      <c r="C100" s="105"/>
      <c r="D100" s="107"/>
    </row>
    <row r="101" spans="2:12" x14ac:dyDescent="0.4">
      <c r="B101" s="108" t="s">
        <v>65</v>
      </c>
      <c r="C101" s="109"/>
      <c r="D101" s="110"/>
    </row>
    <row r="103" spans="2:12" x14ac:dyDescent="0.4">
      <c r="B103" s="57" t="s">
        <v>77</v>
      </c>
      <c r="C103" s="58"/>
      <c r="D103" s="58"/>
      <c r="E103" s="58"/>
      <c r="F103" s="58"/>
      <c r="G103" s="58"/>
      <c r="H103" s="58"/>
      <c r="I103" s="58"/>
      <c r="J103" s="58"/>
      <c r="K103" s="58"/>
      <c r="L103" s="58"/>
    </row>
    <row r="105" spans="2:12" x14ac:dyDescent="0.4">
      <c r="B105" s="61" t="s">
        <v>78</v>
      </c>
      <c r="C105" s="61"/>
      <c r="D105" s="61"/>
      <c r="E105" s="61"/>
      <c r="F105" s="61"/>
      <c r="G105" s="61"/>
      <c r="H105" s="61"/>
      <c r="I105" s="61"/>
      <c r="J105" s="61"/>
      <c r="K105" s="61"/>
      <c r="L105" s="61"/>
    </row>
    <row r="106" spans="2:12" x14ac:dyDescent="0.4">
      <c r="B106" s="74" t="s">
        <v>81</v>
      </c>
      <c r="C106" s="74"/>
      <c r="E106" s="74" t="s">
        <v>87</v>
      </c>
      <c r="F106" s="74" t="s">
        <v>86</v>
      </c>
      <c r="H106" s="74" t="s">
        <v>79</v>
      </c>
      <c r="I106" s="74"/>
      <c r="K106" s="74" t="s">
        <v>87</v>
      </c>
      <c r="L106" s="74" t="s">
        <v>86</v>
      </c>
    </row>
    <row r="107" spans="2:12" x14ac:dyDescent="0.4">
      <c r="B107" t="s">
        <v>82</v>
      </c>
      <c r="E107" s="126"/>
      <c r="F107" s="127"/>
      <c r="H107" t="s">
        <v>8</v>
      </c>
      <c r="K107" s="126"/>
      <c r="L107" s="127"/>
    </row>
    <row r="108" spans="2:12" x14ac:dyDescent="0.4">
      <c r="B108" t="s">
        <v>83</v>
      </c>
      <c r="E108" s="126"/>
      <c r="F108" s="127"/>
      <c r="H108" t="s">
        <v>22</v>
      </c>
      <c r="K108" s="126"/>
      <c r="L108" s="127"/>
    </row>
    <row r="109" spans="2:12" x14ac:dyDescent="0.4">
      <c r="B109" s="26" t="s">
        <v>84</v>
      </c>
      <c r="C109" s="26"/>
      <c r="E109" s="159"/>
      <c r="F109" s="128"/>
      <c r="H109" s="26" t="s">
        <v>16</v>
      </c>
      <c r="I109" s="26"/>
      <c r="K109" s="126"/>
      <c r="L109" s="128"/>
    </row>
    <row r="110" spans="2:12" x14ac:dyDescent="0.4">
      <c r="B110" s="53" t="s">
        <v>85</v>
      </c>
      <c r="C110" s="53"/>
      <c r="D110" s="53"/>
      <c r="E110" s="160"/>
      <c r="F110" s="122"/>
      <c r="H110" s="53" t="s">
        <v>80</v>
      </c>
      <c r="I110" s="53"/>
      <c r="J110" s="53"/>
      <c r="K110" s="160"/>
      <c r="L110" s="122"/>
    </row>
    <row r="112" spans="2:12" x14ac:dyDescent="0.4">
      <c r="B112" s="61" t="s">
        <v>88</v>
      </c>
      <c r="C112" s="61"/>
      <c r="D112" s="61"/>
      <c r="E112" s="61"/>
      <c r="F112" s="61"/>
      <c r="H112" s="61" t="s">
        <v>99</v>
      </c>
      <c r="I112" s="61"/>
      <c r="J112" s="61"/>
      <c r="K112" s="61"/>
      <c r="L112" s="61"/>
    </row>
    <row r="113" spans="2:12" x14ac:dyDescent="0.4">
      <c r="C113" s="77" t="s">
        <v>66</v>
      </c>
      <c r="D113" s="77" t="s">
        <v>63</v>
      </c>
      <c r="E113" s="77" t="s">
        <v>64</v>
      </c>
      <c r="F113" s="77" t="s">
        <v>65</v>
      </c>
      <c r="I113" s="77" t="s">
        <v>76</v>
      </c>
      <c r="J113" s="77" t="s">
        <v>39</v>
      </c>
      <c r="K113" s="77" t="s">
        <v>106</v>
      </c>
      <c r="L113" s="77" t="s">
        <v>107</v>
      </c>
    </row>
    <row r="114" spans="2:12" x14ac:dyDescent="0.4">
      <c r="B114" t="s">
        <v>89</v>
      </c>
      <c r="C114" s="161"/>
      <c r="D114" s="162"/>
      <c r="E114" s="161"/>
      <c r="F114" s="163"/>
      <c r="H114" t="s">
        <v>100</v>
      </c>
      <c r="I114" s="124"/>
      <c r="K114" s="157"/>
      <c r="L114" s="157"/>
    </row>
    <row r="115" spans="2:12" x14ac:dyDescent="0.4">
      <c r="B115" t="s">
        <v>90</v>
      </c>
      <c r="C115" s="161"/>
      <c r="D115" s="162"/>
      <c r="E115" s="161"/>
      <c r="F115" s="163"/>
      <c r="H115" t="s">
        <v>101</v>
      </c>
      <c r="I115" s="124"/>
      <c r="J115" s="157"/>
      <c r="K115" s="157"/>
      <c r="L115" s="157"/>
    </row>
    <row r="116" spans="2:12" x14ac:dyDescent="0.4">
      <c r="H116" t="s">
        <v>102</v>
      </c>
      <c r="I116" s="124"/>
      <c r="J116" s="157"/>
      <c r="K116" s="157"/>
      <c r="L116" s="157"/>
    </row>
    <row r="117" spans="2:12" x14ac:dyDescent="0.4">
      <c r="B117" s="61" t="s">
        <v>91</v>
      </c>
      <c r="C117" s="61"/>
      <c r="D117" s="61"/>
      <c r="E117" s="61"/>
      <c r="F117" s="61"/>
      <c r="H117" t="s">
        <v>103</v>
      </c>
      <c r="I117" s="124"/>
      <c r="J117" s="157"/>
      <c r="K117" s="157"/>
      <c r="L117" s="157"/>
    </row>
    <row r="118" spans="2:12" x14ac:dyDescent="0.4">
      <c r="D118" s="81" t="s">
        <v>92</v>
      </c>
      <c r="E118" s="81" t="s">
        <v>93</v>
      </c>
      <c r="F118" s="81" t="s">
        <v>51</v>
      </c>
      <c r="H118" t="s">
        <v>104</v>
      </c>
      <c r="I118" s="124"/>
      <c r="J118" s="157"/>
      <c r="K118" s="157"/>
      <c r="L118" s="157"/>
    </row>
    <row r="119" spans="2:12" x14ac:dyDescent="0.4">
      <c r="B119" s="1" t="s">
        <v>60</v>
      </c>
      <c r="D119" s="155"/>
      <c r="E119" s="164"/>
      <c r="F119" s="155"/>
      <c r="H119" t="s">
        <v>105</v>
      </c>
      <c r="I119" s="124"/>
      <c r="J119" s="157"/>
      <c r="K119" s="157"/>
      <c r="L119" s="157"/>
    </row>
    <row r="120" spans="2:12" x14ac:dyDescent="0.4">
      <c r="B120" t="s">
        <v>94</v>
      </c>
      <c r="F120" s="127"/>
    </row>
    <row r="121" spans="2:12" x14ac:dyDescent="0.4">
      <c r="B121" s="26" t="s">
        <v>95</v>
      </c>
      <c r="C121" s="26"/>
      <c r="D121" s="26"/>
      <c r="E121" s="26"/>
      <c r="F121" s="128"/>
    </row>
    <row r="122" spans="2:12" x14ac:dyDescent="0.4">
      <c r="B122" s="53" t="s">
        <v>96</v>
      </c>
      <c r="C122" s="30"/>
      <c r="D122" s="53"/>
      <c r="E122" s="53"/>
      <c r="F122" s="122"/>
    </row>
    <row r="123" spans="2:12" x14ac:dyDescent="0.4">
      <c r="B123" s="26" t="s">
        <v>97</v>
      </c>
      <c r="C123" s="26"/>
      <c r="D123" s="26"/>
      <c r="E123" s="26"/>
      <c r="F123" s="128"/>
    </row>
    <row r="124" spans="2:12" x14ac:dyDescent="0.4">
      <c r="B124" s="53" t="s">
        <v>98</v>
      </c>
      <c r="C124" s="30"/>
      <c r="D124" s="53"/>
      <c r="E124" s="53"/>
      <c r="F124" s="12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45E53-6DD5-4987-889A-A4351D18F95F}">
  <sheetPr>
    <tabColor theme="9" tint="0.79998168889431442"/>
  </sheetPr>
  <dimension ref="A1:P124"/>
  <sheetViews>
    <sheetView showGridLines="0" zoomScale="80" zoomScaleNormal="80" workbookViewId="0">
      <selection activeCell="B3" sqref="B3"/>
    </sheetView>
  </sheetViews>
  <sheetFormatPr defaultRowHeight="14.5" x14ac:dyDescent="0.4"/>
  <cols>
    <col min="1" max="1" width="2.19921875" customWidth="1"/>
    <col min="2" max="12" width="13.19921875" customWidth="1"/>
  </cols>
  <sheetData>
    <row r="1" spans="2:12" ht="10" customHeight="1" x14ac:dyDescent="0.4"/>
    <row r="3" spans="2:12" x14ac:dyDescent="0.4">
      <c r="B3" s="1" t="s">
        <v>110</v>
      </c>
    </row>
    <row r="5" spans="2:12" x14ac:dyDescent="0.4">
      <c r="B5" s="57" t="s">
        <v>17</v>
      </c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2:12" x14ac:dyDescent="0.4">
      <c r="B6" s="26"/>
      <c r="C6" s="26"/>
      <c r="D6" s="26"/>
    </row>
    <row r="7" spans="2:12" x14ac:dyDescent="0.4">
      <c r="B7" s="61" t="s">
        <v>0</v>
      </c>
      <c r="C7" s="62"/>
      <c r="D7" s="62"/>
      <c r="F7" s="61" t="s">
        <v>5</v>
      </c>
      <c r="G7" s="62"/>
      <c r="H7" s="62"/>
      <c r="J7" s="61" t="s">
        <v>48</v>
      </c>
      <c r="K7" s="62"/>
      <c r="L7" s="62"/>
    </row>
    <row r="8" spans="2:12" x14ac:dyDescent="0.4">
      <c r="B8" s="26" t="s">
        <v>1</v>
      </c>
      <c r="C8" s="26"/>
      <c r="D8" s="59" t="s">
        <v>4</v>
      </c>
      <c r="F8" t="s">
        <v>6</v>
      </c>
      <c r="H8" s="4">
        <v>44196</v>
      </c>
      <c r="J8" s="20" t="s">
        <v>38</v>
      </c>
      <c r="L8" s="10">
        <f>D55</f>
        <v>0.87931034482758619</v>
      </c>
    </row>
    <row r="9" spans="2:12" x14ac:dyDescent="0.4">
      <c r="B9" t="s">
        <v>2</v>
      </c>
      <c r="D9" s="2">
        <v>100</v>
      </c>
      <c r="F9" t="s">
        <v>7</v>
      </c>
      <c r="H9" s="5">
        <v>60</v>
      </c>
      <c r="I9" s="23"/>
      <c r="J9" s="20" t="s">
        <v>45</v>
      </c>
      <c r="L9" s="9">
        <f>D54</f>
        <v>1208.3333333333333</v>
      </c>
    </row>
    <row r="10" spans="2:12" x14ac:dyDescent="0.4">
      <c r="B10" t="s">
        <v>3</v>
      </c>
      <c r="D10" s="2">
        <v>2018</v>
      </c>
      <c r="F10" t="s">
        <v>8</v>
      </c>
      <c r="H10" s="8">
        <v>15000000</v>
      </c>
      <c r="I10" s="23"/>
      <c r="J10" s="20"/>
    </row>
    <row r="11" spans="2:12" x14ac:dyDescent="0.4">
      <c r="J11" s="20" t="s">
        <v>32</v>
      </c>
      <c r="L11" s="9">
        <f>L9*D9*12</f>
        <v>1450000</v>
      </c>
    </row>
    <row r="12" spans="2:12" x14ac:dyDescent="0.4">
      <c r="B12" s="61" t="s">
        <v>13</v>
      </c>
      <c r="C12" s="62"/>
      <c r="D12" s="62"/>
      <c r="F12" s="61" t="s">
        <v>9</v>
      </c>
      <c r="G12" s="62"/>
      <c r="H12" s="62"/>
      <c r="J12" s="3" t="s">
        <v>33</v>
      </c>
      <c r="L12" s="6">
        <f>D51</f>
        <v>-175000</v>
      </c>
    </row>
    <row r="13" spans="2:12" x14ac:dyDescent="0.4">
      <c r="B13" t="s">
        <v>14</v>
      </c>
      <c r="C13" s="91">
        <v>0.65</v>
      </c>
      <c r="D13" s="90">
        <f>C13*H10</f>
        <v>9750000</v>
      </c>
      <c r="F13" t="s">
        <v>10</v>
      </c>
      <c r="H13" s="12">
        <f>EOMONTH(H8,H9)</f>
        <v>46022</v>
      </c>
      <c r="J13" s="66" t="s">
        <v>47</v>
      </c>
      <c r="K13" s="51">
        <f>-L13/L11</f>
        <v>2.0689655172413793E-2</v>
      </c>
      <c r="L13" s="52">
        <f>D52</f>
        <v>-30000</v>
      </c>
    </row>
    <row r="14" spans="2:12" x14ac:dyDescent="0.4">
      <c r="B14" t="s">
        <v>15</v>
      </c>
      <c r="D14" s="56">
        <v>300</v>
      </c>
      <c r="F14" t="s">
        <v>11</v>
      </c>
      <c r="H14" s="11">
        <v>6.25E-2</v>
      </c>
      <c r="J14" s="67" t="s">
        <v>34</v>
      </c>
      <c r="K14" s="30"/>
      <c r="L14" s="48">
        <f>SUM(L11:L13)</f>
        <v>1245000</v>
      </c>
    </row>
    <row r="15" spans="2:12" x14ac:dyDescent="0.4">
      <c r="B15" t="s">
        <v>16</v>
      </c>
      <c r="D15" s="11">
        <v>0.01</v>
      </c>
      <c r="F15" t="s">
        <v>12</v>
      </c>
      <c r="H15" s="22">
        <f>K75</f>
        <v>19392978.223801777</v>
      </c>
      <c r="J15" s="26" t="s">
        <v>35</v>
      </c>
      <c r="K15" s="26"/>
      <c r="L15" s="52">
        <f>D57</f>
        <v>100000</v>
      </c>
    </row>
    <row r="16" spans="2:12" x14ac:dyDescent="0.4">
      <c r="B16" t="s">
        <v>70</v>
      </c>
      <c r="D16" s="11">
        <v>0.05</v>
      </c>
      <c r="F16" s="16"/>
      <c r="H16" s="3"/>
      <c r="J16" s="53" t="s">
        <v>37</v>
      </c>
      <c r="K16" s="53"/>
      <c r="L16" s="63">
        <f>SUM(L14:L15)</f>
        <v>1345000</v>
      </c>
    </row>
    <row r="17" spans="1:13" x14ac:dyDescent="0.4">
      <c r="D17" s="11"/>
      <c r="F17" s="61" t="s">
        <v>25</v>
      </c>
      <c r="G17" s="62"/>
      <c r="H17" s="62"/>
    </row>
    <row r="18" spans="1:13" x14ac:dyDescent="0.4">
      <c r="B18" s="61" t="s">
        <v>22</v>
      </c>
      <c r="C18" s="62"/>
      <c r="D18" s="62"/>
      <c r="F18" t="s">
        <v>20</v>
      </c>
      <c r="H18">
        <f>D9</f>
        <v>100</v>
      </c>
      <c r="J18" s="61" t="s">
        <v>49</v>
      </c>
      <c r="K18" s="62"/>
      <c r="L18" s="62"/>
    </row>
    <row r="19" spans="1:13" x14ac:dyDescent="0.4">
      <c r="B19" t="s">
        <v>23</v>
      </c>
      <c r="D19" s="7">
        <v>500000</v>
      </c>
      <c r="F19" t="s">
        <v>26</v>
      </c>
      <c r="H19" s="9">
        <f>D19/H18</f>
        <v>5000</v>
      </c>
      <c r="K19" s="21" t="s">
        <v>50</v>
      </c>
      <c r="L19" s="21" t="s">
        <v>51</v>
      </c>
    </row>
    <row r="20" spans="1:13" x14ac:dyDescent="0.4">
      <c r="B20" s="26" t="s">
        <v>24</v>
      </c>
      <c r="C20" s="26"/>
      <c r="D20" s="65">
        <v>100000</v>
      </c>
      <c r="F20" t="s">
        <v>27</v>
      </c>
      <c r="H20" s="8">
        <v>100</v>
      </c>
      <c r="J20" t="s">
        <v>40</v>
      </c>
      <c r="K20">
        <f>L20/$D$9</f>
        <v>550</v>
      </c>
      <c r="L20" s="6">
        <f>-D61</f>
        <v>55000</v>
      </c>
    </row>
    <row r="21" spans="1:13" x14ac:dyDescent="0.4">
      <c r="B21" s="53" t="s">
        <v>51</v>
      </c>
      <c r="C21" s="53"/>
      <c r="D21" s="63">
        <f>SUM(D19:D20)</f>
        <v>600000</v>
      </c>
      <c r="F21" t="s">
        <v>28</v>
      </c>
      <c r="H21" s="10">
        <f>H20*12/H19</f>
        <v>0.24</v>
      </c>
      <c r="J21" t="s">
        <v>41</v>
      </c>
      <c r="K21">
        <f t="shared" ref="K21:K25" si="0">L21/$D$9</f>
        <v>370</v>
      </c>
      <c r="L21" s="6">
        <f>-D62</f>
        <v>37000</v>
      </c>
    </row>
    <row r="22" spans="1:13" x14ac:dyDescent="0.4">
      <c r="J22" t="s">
        <v>42</v>
      </c>
      <c r="K22">
        <f t="shared" si="0"/>
        <v>1000</v>
      </c>
      <c r="L22" s="6">
        <f>-D63</f>
        <v>100000</v>
      </c>
    </row>
    <row r="23" spans="1:13" x14ac:dyDescent="0.4">
      <c r="J23" t="s">
        <v>43</v>
      </c>
      <c r="K23">
        <f t="shared" si="0"/>
        <v>300</v>
      </c>
      <c r="L23" s="6">
        <f>-D64</f>
        <v>30000</v>
      </c>
    </row>
    <row r="24" spans="1:13" x14ac:dyDescent="0.4">
      <c r="J24" s="26" t="s">
        <v>44</v>
      </c>
      <c r="K24" s="26">
        <f t="shared" si="0"/>
        <v>2550</v>
      </c>
      <c r="L24" s="52">
        <f>-D65</f>
        <v>255000</v>
      </c>
    </row>
    <row r="25" spans="1:13" x14ac:dyDescent="0.4">
      <c r="J25" s="53" t="s">
        <v>75</v>
      </c>
      <c r="K25" s="63">
        <f t="shared" si="0"/>
        <v>4770</v>
      </c>
      <c r="L25" s="63">
        <f>SUM(L20:L24)</f>
        <v>477000</v>
      </c>
    </row>
    <row r="27" spans="1:13" x14ac:dyDescent="0.4">
      <c r="B27" s="61" t="s">
        <v>109</v>
      </c>
      <c r="C27" s="61"/>
      <c r="D27" s="61"/>
      <c r="E27" s="61"/>
      <c r="F27" s="61"/>
      <c r="G27" s="61"/>
      <c r="H27" s="61"/>
      <c r="I27" s="61"/>
      <c r="J27" s="61"/>
      <c r="K27" s="61"/>
      <c r="L27" s="61"/>
    </row>
    <row r="29" spans="1:13" x14ac:dyDescent="0.4">
      <c r="F29" s="88">
        <v>0</v>
      </c>
      <c r="G29" s="89">
        <v>1</v>
      </c>
      <c r="H29" s="89">
        <v>2</v>
      </c>
      <c r="I29" s="89">
        <v>3</v>
      </c>
      <c r="J29" s="89">
        <v>4</v>
      </c>
      <c r="K29" s="89">
        <v>5</v>
      </c>
      <c r="L29" s="89">
        <v>6</v>
      </c>
    </row>
    <row r="30" spans="1:13" x14ac:dyDescent="0.4">
      <c r="A30" s="26"/>
      <c r="B30" s="35" t="s">
        <v>38</v>
      </c>
      <c r="C30" s="30"/>
      <c r="D30" s="30"/>
      <c r="E30" s="30"/>
      <c r="F30" s="30"/>
      <c r="G30" s="31">
        <v>0.9</v>
      </c>
      <c r="H30" s="31">
        <v>0.91</v>
      </c>
      <c r="I30" s="31">
        <v>0.92</v>
      </c>
      <c r="J30" s="31">
        <v>0.93</v>
      </c>
      <c r="K30" s="32">
        <f>J30</f>
        <v>0.93</v>
      </c>
      <c r="L30" s="33">
        <f>K30</f>
        <v>0.93</v>
      </c>
      <c r="M30" s="26"/>
    </row>
    <row r="31" spans="1:13" x14ac:dyDescent="0.4">
      <c r="A31" s="26"/>
      <c r="B31" s="36" t="s">
        <v>31</v>
      </c>
      <c r="C31" s="26"/>
      <c r="D31" s="26"/>
      <c r="E31" s="26"/>
      <c r="F31" s="26"/>
      <c r="G31" s="29">
        <v>0</v>
      </c>
      <c r="H31" s="27">
        <v>0.02</v>
      </c>
      <c r="I31" s="27">
        <v>0.03</v>
      </c>
      <c r="J31" s="28">
        <f>I31</f>
        <v>0.03</v>
      </c>
      <c r="K31" s="28">
        <f>J31</f>
        <v>0.03</v>
      </c>
      <c r="L31" s="34">
        <f>K31</f>
        <v>0.03</v>
      </c>
      <c r="M31" s="26"/>
    </row>
    <row r="32" spans="1:13" x14ac:dyDescent="0.4">
      <c r="A32" s="26"/>
      <c r="B32" s="36" t="s">
        <v>52</v>
      </c>
      <c r="C32" s="26"/>
      <c r="D32" s="26"/>
      <c r="E32" s="26"/>
      <c r="F32" s="26"/>
      <c r="G32" s="27">
        <v>0</v>
      </c>
      <c r="H32" s="27">
        <v>0.03</v>
      </c>
      <c r="I32" s="28">
        <f>H32</f>
        <v>0.03</v>
      </c>
      <c r="J32" s="28">
        <f t="shared" ref="J32:L32" si="1">I32</f>
        <v>0.03</v>
      </c>
      <c r="K32" s="28">
        <f t="shared" si="1"/>
        <v>0.03</v>
      </c>
      <c r="L32" s="34">
        <f t="shared" si="1"/>
        <v>0.03</v>
      </c>
      <c r="M32" s="26"/>
    </row>
    <row r="33" spans="1:13" x14ac:dyDescent="0.4">
      <c r="A33" s="26"/>
      <c r="B33" s="37" t="s">
        <v>53</v>
      </c>
      <c r="C33" s="38"/>
      <c r="D33" s="38"/>
      <c r="E33" s="38"/>
      <c r="F33" s="38"/>
      <c r="G33" s="39">
        <v>0</v>
      </c>
      <c r="H33" s="39">
        <v>0.02</v>
      </c>
      <c r="I33" s="40">
        <f>H33</f>
        <v>0.02</v>
      </c>
      <c r="J33" s="40">
        <f t="shared" ref="J33:L33" si="2">I33</f>
        <v>0.02</v>
      </c>
      <c r="K33" s="40">
        <f t="shared" si="2"/>
        <v>0.02</v>
      </c>
      <c r="L33" s="41">
        <f t="shared" si="2"/>
        <v>0.02</v>
      </c>
      <c r="M33" s="26"/>
    </row>
    <row r="34" spans="1:13" x14ac:dyDescent="0.4"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</row>
    <row r="35" spans="1:13" x14ac:dyDescent="0.4">
      <c r="A35" s="26"/>
      <c r="B35" s="35" t="s">
        <v>108</v>
      </c>
      <c r="C35" s="30"/>
      <c r="D35" s="30"/>
      <c r="E35" s="30"/>
      <c r="F35" s="30"/>
      <c r="G35" s="85">
        <f>1-G36</f>
        <v>0.5</v>
      </c>
      <c r="H35" s="85">
        <f t="shared" ref="H35:L35" si="3">1-H36</f>
        <v>0.5</v>
      </c>
      <c r="I35" s="85">
        <f t="shared" si="3"/>
        <v>1</v>
      </c>
      <c r="J35" s="85">
        <f t="shared" si="3"/>
        <v>1</v>
      </c>
      <c r="K35" s="85">
        <f t="shared" si="3"/>
        <v>1</v>
      </c>
      <c r="L35" s="87">
        <f t="shared" si="3"/>
        <v>1</v>
      </c>
      <c r="M35" s="26"/>
    </row>
    <row r="36" spans="1:13" x14ac:dyDescent="0.4">
      <c r="A36" s="26"/>
      <c r="B36" s="46" t="s">
        <v>57</v>
      </c>
      <c r="C36" s="26"/>
      <c r="D36" s="26"/>
      <c r="E36" s="26"/>
      <c r="F36" s="26"/>
      <c r="G36" s="83">
        <v>0.5</v>
      </c>
      <c r="H36" s="83">
        <v>0.5</v>
      </c>
      <c r="I36" s="83">
        <v>0</v>
      </c>
      <c r="J36" s="83">
        <v>0</v>
      </c>
      <c r="K36" s="83">
        <v>0</v>
      </c>
      <c r="L36" s="84">
        <v>0</v>
      </c>
      <c r="M36" s="26"/>
    </row>
    <row r="37" spans="1:13" x14ac:dyDescent="0.4">
      <c r="A37" s="26"/>
      <c r="B37" s="47" t="s">
        <v>58</v>
      </c>
      <c r="C37" s="38"/>
      <c r="D37" s="38"/>
      <c r="E37" s="38"/>
      <c r="F37" s="38"/>
      <c r="G37" s="49">
        <v>1</v>
      </c>
      <c r="H37" s="49">
        <v>0</v>
      </c>
      <c r="I37" s="49">
        <v>0</v>
      </c>
      <c r="J37" s="49">
        <v>0</v>
      </c>
      <c r="K37" s="49">
        <v>0</v>
      </c>
      <c r="L37" s="50">
        <v>0</v>
      </c>
      <c r="M37" s="26"/>
    </row>
    <row r="39" spans="1:13" x14ac:dyDescent="0.4">
      <c r="B39" s="57" t="s">
        <v>18</v>
      </c>
      <c r="C39" s="58"/>
      <c r="D39" s="58"/>
      <c r="E39" s="58"/>
      <c r="F39" s="58"/>
      <c r="G39" s="58"/>
      <c r="H39" s="58"/>
      <c r="I39" s="58"/>
      <c r="J39" s="58"/>
      <c r="K39" s="58"/>
      <c r="L39" s="58"/>
    </row>
    <row r="41" spans="1:13" x14ac:dyDescent="0.4">
      <c r="D41" s="45" t="s">
        <v>19</v>
      </c>
      <c r="F41" s="13">
        <v>0</v>
      </c>
      <c r="G41" s="15">
        <f>F41+1</f>
        <v>1</v>
      </c>
      <c r="H41" s="15">
        <f t="shared" ref="H41:L41" si="4">G41+1</f>
        <v>2</v>
      </c>
      <c r="I41" s="15">
        <f>H41+1</f>
        <v>3</v>
      </c>
      <c r="J41" s="15">
        <f t="shared" si="4"/>
        <v>4</v>
      </c>
      <c r="K41" s="15">
        <f t="shared" si="4"/>
        <v>5</v>
      </c>
      <c r="L41" s="15">
        <f t="shared" si="4"/>
        <v>6</v>
      </c>
    </row>
    <row r="42" spans="1:13" x14ac:dyDescent="0.4">
      <c r="D42" s="21" t="s">
        <v>54</v>
      </c>
      <c r="F42" s="14">
        <v>44196</v>
      </c>
      <c r="G42" s="14">
        <f>EOMONTH(F42,12)</f>
        <v>44561</v>
      </c>
      <c r="H42" s="14">
        <f t="shared" ref="H42:L42" si="5">EOMONTH(G42,12)</f>
        <v>44926</v>
      </c>
      <c r="I42" s="14">
        <f>EOMONTH(H42,12)</f>
        <v>45291</v>
      </c>
      <c r="J42" s="14">
        <f t="shared" si="5"/>
        <v>45657</v>
      </c>
      <c r="K42" s="14">
        <f t="shared" si="5"/>
        <v>46022</v>
      </c>
      <c r="L42" s="14">
        <f t="shared" si="5"/>
        <v>46387</v>
      </c>
    </row>
    <row r="43" spans="1:13" x14ac:dyDescent="0.4"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</row>
    <row r="44" spans="1:13" x14ac:dyDescent="0.4">
      <c r="B44" t="s">
        <v>20</v>
      </c>
      <c r="F44">
        <f>$D$9-F45</f>
        <v>100</v>
      </c>
      <c r="G44">
        <f t="shared" ref="G44:L44" si="6">$D$9-G45</f>
        <v>50</v>
      </c>
      <c r="H44">
        <f t="shared" si="6"/>
        <v>50</v>
      </c>
      <c r="I44">
        <f t="shared" si="6"/>
        <v>0</v>
      </c>
      <c r="J44">
        <f t="shared" si="6"/>
        <v>0</v>
      </c>
      <c r="K44">
        <f t="shared" si="6"/>
        <v>0</v>
      </c>
      <c r="L44">
        <f t="shared" si="6"/>
        <v>0</v>
      </c>
    </row>
    <row r="45" spans="1:13" x14ac:dyDescent="0.4">
      <c r="B45" t="s">
        <v>21</v>
      </c>
      <c r="F45" s="86">
        <f t="shared" ref="F45:L45" si="7">$D$9*F35</f>
        <v>0</v>
      </c>
      <c r="G45" s="19">
        <f t="shared" si="7"/>
        <v>50</v>
      </c>
      <c r="H45" s="19">
        <f t="shared" si="7"/>
        <v>50</v>
      </c>
      <c r="I45" s="19">
        <f t="shared" si="7"/>
        <v>100</v>
      </c>
      <c r="J45" s="19">
        <f t="shared" si="7"/>
        <v>100</v>
      </c>
      <c r="K45" s="19">
        <f t="shared" si="7"/>
        <v>100</v>
      </c>
      <c r="L45" s="19">
        <f t="shared" si="7"/>
        <v>100</v>
      </c>
    </row>
    <row r="47" spans="1:13" x14ac:dyDescent="0.4">
      <c r="B47" t="s">
        <v>29</v>
      </c>
      <c r="F47" s="22">
        <f>L9</f>
        <v>1208.3333333333333</v>
      </c>
      <c r="G47" s="17">
        <f t="shared" ref="G47:L47" si="8">F47*(1+G31)</f>
        <v>1208.3333333333333</v>
      </c>
      <c r="H47" s="17">
        <f t="shared" si="8"/>
        <v>1232.5</v>
      </c>
      <c r="I47" s="17">
        <f t="shared" si="8"/>
        <v>1269.4750000000001</v>
      </c>
      <c r="J47" s="17">
        <f t="shared" si="8"/>
        <v>1307.5592500000002</v>
      </c>
      <c r="K47" s="17">
        <f t="shared" si="8"/>
        <v>1346.7860275000003</v>
      </c>
      <c r="L47" s="17">
        <f t="shared" si="8"/>
        <v>1387.1896083250003</v>
      </c>
    </row>
    <row r="48" spans="1:13" x14ac:dyDescent="0.4">
      <c r="B48" t="s">
        <v>30</v>
      </c>
      <c r="F48" s="9">
        <f t="shared" ref="F48:L48" si="9">F47+$H$20</f>
        <v>1308.3333333333333</v>
      </c>
      <c r="G48" s="9">
        <f t="shared" si="9"/>
        <v>1308.3333333333333</v>
      </c>
      <c r="H48" s="9">
        <f t="shared" si="9"/>
        <v>1332.5</v>
      </c>
      <c r="I48" s="9">
        <f t="shared" si="9"/>
        <v>1369.4750000000001</v>
      </c>
      <c r="J48" s="9">
        <f t="shared" si="9"/>
        <v>1407.5592500000002</v>
      </c>
      <c r="K48" s="9">
        <f t="shared" si="9"/>
        <v>1446.7860275000003</v>
      </c>
      <c r="L48" s="9">
        <f t="shared" si="9"/>
        <v>1487.1896083250003</v>
      </c>
    </row>
    <row r="50" spans="2:16" x14ac:dyDescent="0.4">
      <c r="B50" t="s">
        <v>32</v>
      </c>
      <c r="D50" s="24">
        <v>1450000</v>
      </c>
      <c r="G50" s="6">
        <f t="shared" ref="G50:L50" si="10">G47*G44*12+G45*G48*12</f>
        <v>1510000</v>
      </c>
      <c r="H50" s="6">
        <f t="shared" si="10"/>
        <v>1539000</v>
      </c>
      <c r="I50" s="6">
        <f t="shared" si="10"/>
        <v>1643370</v>
      </c>
      <c r="J50" s="6">
        <f t="shared" si="10"/>
        <v>1689071.1</v>
      </c>
      <c r="K50" s="6">
        <f t="shared" si="10"/>
        <v>1736143.2330000002</v>
      </c>
      <c r="L50" s="6">
        <f t="shared" si="10"/>
        <v>1784627.5299900007</v>
      </c>
    </row>
    <row r="51" spans="2:16" x14ac:dyDescent="0.4">
      <c r="B51" s="16" t="s">
        <v>33</v>
      </c>
      <c r="D51" s="7">
        <v>-175000</v>
      </c>
      <c r="G51" s="6">
        <f t="shared" ref="G51:L51" si="11">-(1-G30)*G50</f>
        <v>-150999.99999999997</v>
      </c>
      <c r="H51" s="6">
        <f t="shared" si="11"/>
        <v>-138509.99999999994</v>
      </c>
      <c r="I51" s="6">
        <f t="shared" si="11"/>
        <v>-131469.59999999995</v>
      </c>
      <c r="J51" s="6">
        <f t="shared" si="11"/>
        <v>-118234.97699999993</v>
      </c>
      <c r="K51" s="6">
        <f t="shared" si="11"/>
        <v>-121530.02630999993</v>
      </c>
      <c r="L51" s="6">
        <f t="shared" si="11"/>
        <v>-124923.92709929995</v>
      </c>
    </row>
    <row r="52" spans="2:16" x14ac:dyDescent="0.4">
      <c r="B52" s="68" t="s">
        <v>47</v>
      </c>
      <c r="C52" s="26"/>
      <c r="D52" s="65">
        <v>-30000</v>
      </c>
      <c r="E52" s="26"/>
      <c r="F52" s="26"/>
      <c r="G52" s="52">
        <f t="shared" ref="G52:L52" si="12">-$K$13*G50</f>
        <v>-31241.379310344826</v>
      </c>
      <c r="H52" s="52">
        <f t="shared" si="12"/>
        <v>-31841.379310344826</v>
      </c>
      <c r="I52" s="52">
        <f t="shared" si="12"/>
        <v>-34000.758620689652</v>
      </c>
      <c r="J52" s="52">
        <f t="shared" si="12"/>
        <v>-34946.298620689653</v>
      </c>
      <c r="K52" s="52">
        <f t="shared" si="12"/>
        <v>-35920.204820689658</v>
      </c>
      <c r="L52" s="52">
        <f t="shared" si="12"/>
        <v>-36923.328206689665</v>
      </c>
    </row>
    <row r="53" spans="2:16" x14ac:dyDescent="0.4">
      <c r="B53" s="53" t="s">
        <v>34</v>
      </c>
      <c r="C53" s="53"/>
      <c r="D53" s="70">
        <f>SUM(D50:D52)</f>
        <v>1245000</v>
      </c>
      <c r="E53" s="63"/>
      <c r="F53" s="63"/>
      <c r="G53" s="63">
        <f>SUM(G50:G52)</f>
        <v>1327758.6206896552</v>
      </c>
      <c r="H53" s="63">
        <f t="shared" ref="H53:L53" si="13">SUM(H50:H52)</f>
        <v>1368648.6206896552</v>
      </c>
      <c r="I53" s="63">
        <f t="shared" si="13"/>
        <v>1477899.6413793105</v>
      </c>
      <c r="J53" s="63">
        <f t="shared" si="13"/>
        <v>1535889.8243793105</v>
      </c>
      <c r="K53" s="63">
        <f t="shared" si="13"/>
        <v>1578693.0018693106</v>
      </c>
      <c r="L53" s="63">
        <f t="shared" si="13"/>
        <v>1622780.2746840112</v>
      </c>
    </row>
    <row r="54" spans="2:16" x14ac:dyDescent="0.4">
      <c r="B54" s="44" t="s">
        <v>45</v>
      </c>
      <c r="D54" s="42">
        <f>D50/$D$9/12</f>
        <v>1208.3333333333333</v>
      </c>
      <c r="E54" s="43"/>
      <c r="F54" s="43"/>
      <c r="G54" s="42">
        <f t="shared" ref="G54:L54" si="14">G50/$D$9/12</f>
        <v>1258.3333333333333</v>
      </c>
      <c r="H54" s="42">
        <f t="shared" si="14"/>
        <v>1282.5</v>
      </c>
      <c r="I54" s="42">
        <f t="shared" si="14"/>
        <v>1369.4750000000001</v>
      </c>
      <c r="J54" s="42">
        <f t="shared" si="14"/>
        <v>1407.55925</v>
      </c>
      <c r="K54" s="42">
        <f t="shared" si="14"/>
        <v>1446.7860275000003</v>
      </c>
      <c r="L54" s="42">
        <f t="shared" si="14"/>
        <v>1487.1896083250006</v>
      </c>
    </row>
    <row r="55" spans="2:16" x14ac:dyDescent="0.4">
      <c r="B55" s="44" t="s">
        <v>46</v>
      </c>
      <c r="D55" s="25">
        <f>SUM(D50:D51)/D50</f>
        <v>0.87931034482758619</v>
      </c>
      <c r="E55" s="18"/>
      <c r="F55" s="18"/>
      <c r="G55" s="25">
        <f t="shared" ref="G55:L55" si="15">SUM(G50:G51)/G50</f>
        <v>0.9</v>
      </c>
      <c r="H55" s="25">
        <f t="shared" si="15"/>
        <v>0.91</v>
      </c>
      <c r="I55" s="25">
        <f t="shared" si="15"/>
        <v>0.92</v>
      </c>
      <c r="J55" s="25">
        <f t="shared" si="15"/>
        <v>0.93</v>
      </c>
      <c r="K55" s="25">
        <f t="shared" si="15"/>
        <v>0.93</v>
      </c>
      <c r="L55" s="25">
        <f t="shared" si="15"/>
        <v>0.93000000000000016</v>
      </c>
    </row>
    <row r="57" spans="2:16" x14ac:dyDescent="0.4">
      <c r="B57" s="1" t="s">
        <v>36</v>
      </c>
      <c r="C57" s="1"/>
      <c r="D57" s="71">
        <v>100000</v>
      </c>
      <c r="E57" s="64"/>
      <c r="F57" s="64"/>
      <c r="G57" s="64">
        <f>D57*(1+G32)</f>
        <v>100000</v>
      </c>
      <c r="H57" s="64">
        <f>G57*(1+H32)</f>
        <v>103000</v>
      </c>
      <c r="I57" s="64">
        <f>H57*(1+I32)</f>
        <v>106090</v>
      </c>
      <c r="J57" s="64">
        <f>I57*(1+J32)</f>
        <v>109272.7</v>
      </c>
      <c r="K57" s="64">
        <f>J57*(1+K32)</f>
        <v>112550.88099999999</v>
      </c>
      <c r="L57" s="64">
        <f>K57*(1+L32)</f>
        <v>115927.40742999999</v>
      </c>
    </row>
    <row r="59" spans="2:16" x14ac:dyDescent="0.4">
      <c r="B59" s="53" t="s">
        <v>37</v>
      </c>
      <c r="C59" s="53"/>
      <c r="D59" s="70">
        <f>D53+D57</f>
        <v>1345000</v>
      </c>
      <c r="E59" s="63"/>
      <c r="F59" s="63"/>
      <c r="G59" s="63">
        <f t="shared" ref="G59:L59" si="16">G53+G57</f>
        <v>1427758.6206896552</v>
      </c>
      <c r="H59" s="63">
        <f t="shared" si="16"/>
        <v>1471648.6206896552</v>
      </c>
      <c r="I59" s="63">
        <f t="shared" si="16"/>
        <v>1583989.6413793105</v>
      </c>
      <c r="J59" s="63">
        <f t="shared" si="16"/>
        <v>1645162.5243793104</v>
      </c>
      <c r="K59" s="63">
        <f t="shared" si="16"/>
        <v>1691243.8828693107</v>
      </c>
      <c r="L59" s="63">
        <f t="shared" si="16"/>
        <v>1738707.6821140111</v>
      </c>
    </row>
    <row r="61" spans="2:16" x14ac:dyDescent="0.4">
      <c r="B61" t="s">
        <v>40</v>
      </c>
      <c r="D61" s="7">
        <v>-55000</v>
      </c>
      <c r="G61" s="6">
        <f>D61*(1+G$33)</f>
        <v>-55000</v>
      </c>
      <c r="H61" s="6">
        <f t="shared" ref="H61:L65" si="17">G61*(1+H$33)</f>
        <v>-56100</v>
      </c>
      <c r="I61" s="6">
        <f t="shared" si="17"/>
        <v>-57222</v>
      </c>
      <c r="J61" s="6">
        <f t="shared" si="17"/>
        <v>-58366.44</v>
      </c>
      <c r="K61" s="6">
        <f t="shared" si="17"/>
        <v>-59533.768800000005</v>
      </c>
      <c r="L61" s="6">
        <f t="shared" si="17"/>
        <v>-60724.444176000005</v>
      </c>
      <c r="O61" s="6"/>
      <c r="P61" s="6"/>
    </row>
    <row r="62" spans="2:16" x14ac:dyDescent="0.4">
      <c r="B62" t="s">
        <v>41</v>
      </c>
      <c r="D62" s="7">
        <v>-37000</v>
      </c>
      <c r="G62" s="6">
        <f>D62*(1+G$33)</f>
        <v>-37000</v>
      </c>
      <c r="H62" s="6">
        <f t="shared" si="17"/>
        <v>-37740</v>
      </c>
      <c r="I62" s="6">
        <f t="shared" si="17"/>
        <v>-38494.800000000003</v>
      </c>
      <c r="J62" s="6">
        <f t="shared" si="17"/>
        <v>-39264.696000000004</v>
      </c>
      <c r="K62" s="6">
        <f t="shared" si="17"/>
        <v>-40049.989920000007</v>
      </c>
      <c r="L62" s="6">
        <f t="shared" si="17"/>
        <v>-40850.989718400007</v>
      </c>
      <c r="O62" s="6"/>
    </row>
    <row r="63" spans="2:16" x14ac:dyDescent="0.4">
      <c r="B63" t="s">
        <v>42</v>
      </c>
      <c r="D63" s="7">
        <v>-100000</v>
      </c>
      <c r="G63" s="6">
        <f>D63*(1+G$33)</f>
        <v>-100000</v>
      </c>
      <c r="H63" s="6">
        <f t="shared" si="17"/>
        <v>-102000</v>
      </c>
      <c r="I63" s="6">
        <f t="shared" si="17"/>
        <v>-104040</v>
      </c>
      <c r="J63" s="6">
        <f t="shared" si="17"/>
        <v>-106120.8</v>
      </c>
      <c r="K63" s="6">
        <f t="shared" si="17"/>
        <v>-108243.216</v>
      </c>
      <c r="L63" s="6">
        <f t="shared" si="17"/>
        <v>-110408.08032000001</v>
      </c>
      <c r="O63" s="6"/>
    </row>
    <row r="64" spans="2:16" x14ac:dyDescent="0.4">
      <c r="B64" t="s">
        <v>43</v>
      </c>
      <c r="D64" s="7">
        <v>-30000</v>
      </c>
      <c r="G64" s="6">
        <f>D64*(1+G$33)</f>
        <v>-30000</v>
      </c>
      <c r="H64" s="6">
        <f t="shared" si="17"/>
        <v>-30600</v>
      </c>
      <c r="I64" s="6">
        <f t="shared" si="17"/>
        <v>-31212</v>
      </c>
      <c r="J64" s="6">
        <f t="shared" si="17"/>
        <v>-31836.240000000002</v>
      </c>
      <c r="K64" s="6">
        <f t="shared" si="17"/>
        <v>-32472.964800000002</v>
      </c>
      <c r="L64" s="6">
        <f t="shared" si="17"/>
        <v>-33122.424096000002</v>
      </c>
      <c r="O64" s="6"/>
    </row>
    <row r="65" spans="1:15" x14ac:dyDescent="0.4">
      <c r="B65" t="s">
        <v>44</v>
      </c>
      <c r="D65" s="7">
        <v>-255000</v>
      </c>
      <c r="G65" s="6">
        <f>D65*(1+G$33)</f>
        <v>-255000</v>
      </c>
      <c r="H65" s="6">
        <f t="shared" si="17"/>
        <v>-260100</v>
      </c>
      <c r="I65" s="6">
        <f t="shared" si="17"/>
        <v>-265302</v>
      </c>
      <c r="J65" s="6">
        <f t="shared" si="17"/>
        <v>-270608.03999999998</v>
      </c>
      <c r="K65" s="6">
        <f t="shared" si="17"/>
        <v>-276020.20079999999</v>
      </c>
      <c r="L65" s="6">
        <f t="shared" si="17"/>
        <v>-281540.60481599998</v>
      </c>
      <c r="O65" s="6"/>
    </row>
    <row r="66" spans="1:15" x14ac:dyDescent="0.4">
      <c r="B66" s="53" t="s">
        <v>75</v>
      </c>
      <c r="C66" s="53"/>
      <c r="D66" s="70">
        <f>SUM(D61:D65)</f>
        <v>-477000</v>
      </c>
      <c r="E66" s="63"/>
      <c r="F66" s="63"/>
      <c r="G66" s="63">
        <f t="shared" ref="G66:L66" si="18">SUM(G61:G65)</f>
        <v>-477000</v>
      </c>
      <c r="H66" s="63">
        <f t="shared" si="18"/>
        <v>-486540</v>
      </c>
      <c r="I66" s="63">
        <f t="shared" si="18"/>
        <v>-496270.8</v>
      </c>
      <c r="J66" s="63">
        <f t="shared" si="18"/>
        <v>-506196.21599999996</v>
      </c>
      <c r="K66" s="63">
        <f t="shared" si="18"/>
        <v>-516320.14032000001</v>
      </c>
      <c r="L66" s="63">
        <f t="shared" si="18"/>
        <v>-526646.54312639998</v>
      </c>
      <c r="O66" s="6"/>
    </row>
    <row r="68" spans="1:15" x14ac:dyDescent="0.4">
      <c r="B68" s="60" t="s">
        <v>76</v>
      </c>
      <c r="C68" s="60"/>
      <c r="D68" s="72">
        <f>D59+D66</f>
        <v>868000</v>
      </c>
      <c r="E68" s="73"/>
      <c r="F68" s="73"/>
      <c r="G68" s="73">
        <f t="shared" ref="G68:L68" si="19">G59+G66</f>
        <v>950758.62068965519</v>
      </c>
      <c r="H68" s="73">
        <f t="shared" si="19"/>
        <v>985108.62068965519</v>
      </c>
      <c r="I68" s="73">
        <f t="shared" si="19"/>
        <v>1087718.8413793105</v>
      </c>
      <c r="J68" s="73">
        <f t="shared" si="19"/>
        <v>1138966.3083793104</v>
      </c>
      <c r="K68" s="73">
        <f t="shared" si="19"/>
        <v>1174923.7425493107</v>
      </c>
      <c r="L68" s="73">
        <f t="shared" si="19"/>
        <v>1212061.138987611</v>
      </c>
    </row>
    <row r="69" spans="1:15" x14ac:dyDescent="0.4"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</row>
    <row r="70" spans="1:15" x14ac:dyDescent="0.4">
      <c r="B70" t="s">
        <v>56</v>
      </c>
      <c r="G70" s="6">
        <f>-$D$19*G36</f>
        <v>-250000</v>
      </c>
      <c r="H70" s="6">
        <f>-$D$19*H36</f>
        <v>-250000</v>
      </c>
      <c r="I70" s="6">
        <f>-$D$19*I36</f>
        <v>0</v>
      </c>
      <c r="J70" s="6">
        <f>-$D$19*J36</f>
        <v>0</v>
      </c>
      <c r="K70" s="6">
        <f>-$D$19*K36</f>
        <v>0</v>
      </c>
    </row>
    <row r="71" spans="1:15" x14ac:dyDescent="0.4">
      <c r="B71" t="s">
        <v>55</v>
      </c>
      <c r="G71" s="6">
        <f>-$D$20*G37</f>
        <v>-100000</v>
      </c>
      <c r="H71" s="6">
        <f>-$D$20*H37</f>
        <v>0</v>
      </c>
      <c r="I71" s="6">
        <f>-$D$20*I37</f>
        <v>0</v>
      </c>
      <c r="J71" s="6">
        <f>-$D$20*J37</f>
        <v>0</v>
      </c>
      <c r="K71" s="6">
        <f>-$D$20*K37</f>
        <v>0</v>
      </c>
    </row>
    <row r="72" spans="1:15" x14ac:dyDescent="0.4">
      <c r="B72" s="53" t="s">
        <v>59</v>
      </c>
      <c r="C72" s="53"/>
      <c r="D72" s="70"/>
      <c r="E72" s="63"/>
      <c r="F72" s="63"/>
      <c r="G72" s="63">
        <f>SUM(G70:G71)</f>
        <v>-350000</v>
      </c>
      <c r="H72" s="63">
        <f t="shared" ref="H72:K72" si="20">SUM(H70:H71)</f>
        <v>-250000</v>
      </c>
      <c r="I72" s="63">
        <f t="shared" si="20"/>
        <v>0</v>
      </c>
      <c r="J72" s="63">
        <f t="shared" si="20"/>
        <v>0</v>
      </c>
      <c r="K72" s="63">
        <f t="shared" si="20"/>
        <v>0</v>
      </c>
    </row>
    <row r="74" spans="1:15" x14ac:dyDescent="0.4">
      <c r="B74" t="s">
        <v>8</v>
      </c>
      <c r="F74" s="6">
        <f>-H10</f>
        <v>-15000000</v>
      </c>
    </row>
    <row r="75" spans="1:15" x14ac:dyDescent="0.4">
      <c r="B75" t="s">
        <v>60</v>
      </c>
      <c r="G75" s="6">
        <f>H68/$H$14*(G42=$H$13)</f>
        <v>0</v>
      </c>
      <c r="H75" s="6">
        <f t="shared" ref="H75:K75" si="21">I68/$H$14*(H42=$H$13)</f>
        <v>0</v>
      </c>
      <c r="I75" s="6">
        <f t="shared" si="21"/>
        <v>0</v>
      </c>
      <c r="J75" s="6">
        <f t="shared" si="21"/>
        <v>0</v>
      </c>
      <c r="K75" s="6">
        <f t="shared" si="21"/>
        <v>19392978.223801777</v>
      </c>
    </row>
    <row r="76" spans="1:15" x14ac:dyDescent="0.4">
      <c r="B76" s="53" t="s">
        <v>61</v>
      </c>
      <c r="C76" s="53"/>
      <c r="D76" s="70"/>
      <c r="E76" s="63"/>
      <c r="F76" s="63">
        <f>SUM(F74:F75)</f>
        <v>-15000000</v>
      </c>
      <c r="G76" s="63">
        <f t="shared" ref="G76:K76" si="22">SUM(G74:G75)</f>
        <v>0</v>
      </c>
      <c r="H76" s="63">
        <f t="shared" si="22"/>
        <v>0</v>
      </c>
      <c r="I76" s="63">
        <f t="shared" si="22"/>
        <v>0</v>
      </c>
      <c r="J76" s="63">
        <f t="shared" si="22"/>
        <v>0</v>
      </c>
      <c r="K76" s="63">
        <f t="shared" si="22"/>
        <v>19392978.223801777</v>
      </c>
    </row>
    <row r="78" spans="1:15" x14ac:dyDescent="0.4">
      <c r="B78" s="60" t="s">
        <v>62</v>
      </c>
      <c r="C78" s="60"/>
      <c r="D78" s="72"/>
      <c r="E78" s="73"/>
      <c r="F78" s="73">
        <f>F68+F72+F76</f>
        <v>-15000000</v>
      </c>
      <c r="G78" s="73">
        <f t="shared" ref="G78:K78" si="23">G68+G72+G76</f>
        <v>600758.62068965519</v>
      </c>
      <c r="H78" s="73">
        <f t="shared" si="23"/>
        <v>735108.62068965519</v>
      </c>
      <c r="I78" s="73">
        <f t="shared" si="23"/>
        <v>1087718.8413793105</v>
      </c>
      <c r="J78" s="73">
        <f t="shared" si="23"/>
        <v>1138966.3083793104</v>
      </c>
      <c r="K78" s="73">
        <f t="shared" si="23"/>
        <v>20567901.966351088</v>
      </c>
    </row>
    <row r="79" spans="1:15" x14ac:dyDescent="0.4">
      <c r="B79" s="26"/>
      <c r="C79" s="26"/>
      <c r="D79" s="26"/>
    </row>
    <row r="80" spans="1:15" x14ac:dyDescent="0.4">
      <c r="A80" s="26"/>
      <c r="B80" s="92" t="s">
        <v>66</v>
      </c>
      <c r="C80" s="93"/>
      <c r="D80" s="94">
        <f>-SUMIF(F78:K78,"&lt;0")</f>
        <v>15000000</v>
      </c>
      <c r="E80" s="26"/>
    </row>
    <row r="81" spans="1:11" x14ac:dyDescent="0.4">
      <c r="A81" s="26"/>
      <c r="B81" s="95" t="s">
        <v>63</v>
      </c>
      <c r="C81" s="96"/>
      <c r="D81" s="97">
        <f>XIRR(F78:K78,$F$42:$K$42)</f>
        <v>0.10814949870109558</v>
      </c>
      <c r="E81" s="26"/>
    </row>
    <row r="82" spans="1:11" x14ac:dyDescent="0.4">
      <c r="A82" s="26"/>
      <c r="B82" s="95" t="s">
        <v>64</v>
      </c>
      <c r="C82" s="96"/>
      <c r="D82" s="98">
        <f>SUM(F78:K78)</f>
        <v>9130454.3574890196</v>
      </c>
      <c r="E82" s="26"/>
    </row>
    <row r="83" spans="1:11" x14ac:dyDescent="0.4">
      <c r="A83" s="26"/>
      <c r="B83" s="99" t="s">
        <v>65</v>
      </c>
      <c r="C83" s="100"/>
      <c r="D83" s="101">
        <f>SUMIF(F78:K78,"&gt;0")/D80</f>
        <v>1.6086969571659346</v>
      </c>
      <c r="E83" s="26"/>
    </row>
    <row r="84" spans="1:11" x14ac:dyDescent="0.4">
      <c r="B84" s="26"/>
      <c r="C84" s="26"/>
      <c r="D84" s="26"/>
    </row>
    <row r="85" spans="1:11" x14ac:dyDescent="0.4">
      <c r="B85" s="55" t="s">
        <v>67</v>
      </c>
      <c r="G85" s="54">
        <v>1.4999999999999999E-2</v>
      </c>
      <c r="H85" s="54">
        <v>1.7000000000000001E-2</v>
      </c>
      <c r="I85" s="54">
        <v>1.9000000000000003E-2</v>
      </c>
      <c r="J85" s="54">
        <v>2.1000000000000005E-2</v>
      </c>
      <c r="K85" s="54">
        <v>2.3000000000000007E-2</v>
      </c>
    </row>
    <row r="86" spans="1:11" x14ac:dyDescent="0.4">
      <c r="B86" s="55" t="s">
        <v>15</v>
      </c>
      <c r="G86" s="23">
        <f>G85+$D$14/10000</f>
        <v>4.4999999999999998E-2</v>
      </c>
      <c r="H86" s="23">
        <f t="shared" ref="H86:K86" si="24">H85+$D$14/10000</f>
        <v>4.7E-2</v>
      </c>
      <c r="I86" s="23">
        <f t="shared" si="24"/>
        <v>4.9000000000000002E-2</v>
      </c>
      <c r="J86" s="23">
        <f t="shared" si="24"/>
        <v>5.1000000000000004E-2</v>
      </c>
      <c r="K86" s="23">
        <f t="shared" si="24"/>
        <v>5.3000000000000005E-2</v>
      </c>
    </row>
    <row r="87" spans="1:11" x14ac:dyDescent="0.4">
      <c r="B87" s="55" t="s">
        <v>73</v>
      </c>
      <c r="G87" s="6">
        <f>-G86*G90</f>
        <v>-438750</v>
      </c>
      <c r="H87" s="6">
        <f t="shared" ref="H87:K87" si="25">-H86*H90</f>
        <v>-435337.5</v>
      </c>
      <c r="I87" s="6">
        <f t="shared" si="25"/>
        <v>-429975</v>
      </c>
      <c r="J87" s="6">
        <f t="shared" si="25"/>
        <v>-422662.50000000006</v>
      </c>
      <c r="K87" s="6">
        <f t="shared" si="25"/>
        <v>-413400.00000000006</v>
      </c>
    </row>
    <row r="89" spans="1:11" x14ac:dyDescent="0.4">
      <c r="B89" t="s">
        <v>16</v>
      </c>
      <c r="F89" s="6">
        <f>-D15*D13</f>
        <v>-97500</v>
      </c>
      <c r="G89" s="6"/>
      <c r="H89" s="6"/>
      <c r="I89" s="6"/>
      <c r="J89" s="6"/>
      <c r="K89" s="6"/>
    </row>
    <row r="90" spans="1:11" x14ac:dyDescent="0.4">
      <c r="B90" t="s">
        <v>68</v>
      </c>
      <c r="F90" s="7">
        <v>0</v>
      </c>
      <c r="G90" s="6">
        <f>F94</f>
        <v>9750000</v>
      </c>
      <c r="H90" s="6">
        <f t="shared" ref="H90:K90" si="26">G94</f>
        <v>9262500</v>
      </c>
      <c r="I90" s="6">
        <f t="shared" si="26"/>
        <v>8775000</v>
      </c>
      <c r="J90" s="6">
        <f t="shared" si="26"/>
        <v>8287500</v>
      </c>
      <c r="K90" s="6">
        <f t="shared" si="26"/>
        <v>7800000</v>
      </c>
    </row>
    <row r="91" spans="1:11" x14ac:dyDescent="0.4">
      <c r="B91" t="s">
        <v>69</v>
      </c>
      <c r="F91" s="6">
        <f>D13</f>
        <v>9750000</v>
      </c>
      <c r="G91" s="6"/>
      <c r="H91" s="6"/>
      <c r="I91" s="6"/>
      <c r="J91" s="6"/>
      <c r="K91" s="6"/>
    </row>
    <row r="92" spans="1:11" x14ac:dyDescent="0.4">
      <c r="B92" t="s">
        <v>70</v>
      </c>
      <c r="F92" s="6"/>
      <c r="G92" s="6">
        <f>-$D$16*$F$91</f>
        <v>-487500</v>
      </c>
      <c r="H92" s="6">
        <f t="shared" ref="H92:K92" si="27">-$D$16*$F$91</f>
        <v>-487500</v>
      </c>
      <c r="I92" s="6">
        <f t="shared" si="27"/>
        <v>-487500</v>
      </c>
      <c r="J92" s="6">
        <f t="shared" si="27"/>
        <v>-487500</v>
      </c>
      <c r="K92" s="6">
        <f t="shared" si="27"/>
        <v>-487500</v>
      </c>
    </row>
    <row r="93" spans="1:11" x14ac:dyDescent="0.4">
      <c r="B93" s="26" t="s">
        <v>71</v>
      </c>
      <c r="C93" s="26"/>
      <c r="D93" s="26"/>
      <c r="E93" s="26"/>
      <c r="F93" s="52"/>
      <c r="G93" s="52"/>
      <c r="H93" s="52"/>
      <c r="I93" s="52"/>
      <c r="J93" s="52"/>
      <c r="K93" s="52">
        <f>-SUM(K90:K92)</f>
        <v>-7312500</v>
      </c>
    </row>
    <row r="94" spans="1:11" x14ac:dyDescent="0.4">
      <c r="B94" s="53" t="s">
        <v>72</v>
      </c>
      <c r="C94" s="53"/>
      <c r="D94" s="53"/>
      <c r="E94" s="53"/>
      <c r="F94" s="69">
        <f>SUM(F90:F93)</f>
        <v>9750000</v>
      </c>
      <c r="G94" s="69">
        <f t="shared" ref="G94:K94" si="28">SUM(G90:G93)</f>
        <v>9262500</v>
      </c>
      <c r="H94" s="69">
        <f t="shared" si="28"/>
        <v>8775000</v>
      </c>
      <c r="I94" s="69">
        <f t="shared" si="28"/>
        <v>8287500</v>
      </c>
      <c r="J94" s="69">
        <f t="shared" si="28"/>
        <v>7800000</v>
      </c>
      <c r="K94" s="69">
        <f t="shared" si="28"/>
        <v>0</v>
      </c>
    </row>
    <row r="96" spans="1:11" x14ac:dyDescent="0.4">
      <c r="B96" s="60" t="s">
        <v>74</v>
      </c>
      <c r="C96" s="60"/>
      <c r="D96" s="72"/>
      <c r="E96" s="73"/>
      <c r="F96" s="73">
        <f>F78+F87+F89+F91+F92+F93</f>
        <v>-5347500</v>
      </c>
      <c r="G96" s="73">
        <f t="shared" ref="G96:K96" si="29">G78+G87+G89+G91+G92+G93</f>
        <v>-325491.37931034481</v>
      </c>
      <c r="H96" s="73">
        <f t="shared" si="29"/>
        <v>-187728.87931034481</v>
      </c>
      <c r="I96" s="73">
        <f t="shared" si="29"/>
        <v>170243.84137931047</v>
      </c>
      <c r="J96" s="73">
        <f t="shared" si="29"/>
        <v>228803.80837931042</v>
      </c>
      <c r="K96" s="73">
        <f t="shared" si="29"/>
        <v>12354501.966351088</v>
      </c>
    </row>
    <row r="97" spans="2:12" x14ac:dyDescent="0.4">
      <c r="G97" s="9"/>
      <c r="H97" s="9"/>
    </row>
    <row r="98" spans="2:12" x14ac:dyDescent="0.4">
      <c r="B98" s="92" t="s">
        <v>66</v>
      </c>
      <c r="C98" s="102"/>
      <c r="D98" s="103">
        <f>-SUMIF(F96:K96,"&lt;0")</f>
        <v>5860720.2586206906</v>
      </c>
    </row>
    <row r="99" spans="2:12" x14ac:dyDescent="0.4">
      <c r="B99" s="104" t="s">
        <v>63</v>
      </c>
      <c r="C99" s="105"/>
      <c r="D99" s="106">
        <f>XIRR(F96:K96,$F$42:$K$42)</f>
        <v>0.17407967448234563</v>
      </c>
    </row>
    <row r="100" spans="2:12" x14ac:dyDescent="0.4">
      <c r="B100" s="104" t="s">
        <v>64</v>
      </c>
      <c r="C100" s="105"/>
      <c r="D100" s="107">
        <f>SUM(F96:K96)</f>
        <v>6892829.3574890187</v>
      </c>
      <c r="E100" s="6"/>
    </row>
    <row r="101" spans="2:12" x14ac:dyDescent="0.4">
      <c r="B101" s="108" t="s">
        <v>65</v>
      </c>
      <c r="C101" s="109"/>
      <c r="D101" s="110">
        <f>SUMIF(F96:K96,"&gt;0")/D98</f>
        <v>2.1761061871789855</v>
      </c>
    </row>
    <row r="103" spans="2:12" x14ac:dyDescent="0.4">
      <c r="B103" s="57" t="s">
        <v>77</v>
      </c>
      <c r="C103" s="58"/>
      <c r="D103" s="58"/>
      <c r="E103" s="58"/>
      <c r="F103" s="58"/>
      <c r="G103" s="58"/>
      <c r="H103" s="58"/>
      <c r="I103" s="58"/>
      <c r="J103" s="58"/>
      <c r="K103" s="58"/>
      <c r="L103" s="58"/>
    </row>
    <row r="105" spans="2:12" x14ac:dyDescent="0.4">
      <c r="B105" s="61" t="s">
        <v>78</v>
      </c>
      <c r="C105" s="61"/>
      <c r="D105" s="61"/>
      <c r="E105" s="61"/>
      <c r="F105" s="61"/>
      <c r="G105" s="61"/>
      <c r="H105" s="61"/>
      <c r="I105" s="61"/>
      <c r="J105" s="61"/>
      <c r="K105" s="61"/>
      <c r="L105" s="61"/>
    </row>
    <row r="106" spans="2:12" x14ac:dyDescent="0.4">
      <c r="B106" s="74" t="s">
        <v>81</v>
      </c>
      <c r="C106" s="74"/>
      <c r="E106" s="74" t="s">
        <v>87</v>
      </c>
      <c r="F106" s="74" t="s">
        <v>86</v>
      </c>
      <c r="H106" s="74" t="s">
        <v>79</v>
      </c>
      <c r="I106" s="74"/>
      <c r="K106" s="74" t="s">
        <v>87</v>
      </c>
      <c r="L106" s="74" t="s">
        <v>86</v>
      </c>
    </row>
    <row r="107" spans="2:12" x14ac:dyDescent="0.4">
      <c r="B107" t="s">
        <v>82</v>
      </c>
      <c r="E107" s="10">
        <f>F107/$F$110</f>
        <v>0.37335373522030202</v>
      </c>
      <c r="F107" s="6">
        <f>-SUMIF(F96:K96,"&lt;0")</f>
        <v>5860720.2586206906</v>
      </c>
      <c r="H107" t="s">
        <v>8</v>
      </c>
      <c r="K107" s="10">
        <f>L107/$L$110</f>
        <v>0.95556617295747726</v>
      </c>
      <c r="L107" s="6">
        <f>-SUM(F74:L74)</f>
        <v>15000000</v>
      </c>
    </row>
    <row r="108" spans="2:12" x14ac:dyDescent="0.4">
      <c r="B108" t="s">
        <v>83</v>
      </c>
      <c r="E108" s="10">
        <f>F108/$F$110</f>
        <v>0.6211180124223602</v>
      </c>
      <c r="F108" s="6">
        <f>SUM(F91:K91)</f>
        <v>9750000</v>
      </c>
      <c r="H108" t="s">
        <v>22</v>
      </c>
      <c r="K108" s="10">
        <f>L108/$L$110</f>
        <v>3.8222646918299095E-2</v>
      </c>
      <c r="L108" s="6">
        <f>-SUM(F72:L72)</f>
        <v>600000</v>
      </c>
    </row>
    <row r="109" spans="2:12" x14ac:dyDescent="0.4">
      <c r="B109" s="26" t="s">
        <v>84</v>
      </c>
      <c r="C109" s="26"/>
      <c r="E109" s="76">
        <f>F109/$F$110</f>
        <v>5.5282523573377575E-3</v>
      </c>
      <c r="F109" s="52">
        <f>F110-SUM(F107:F108)</f>
        <v>86779.741379309446</v>
      </c>
      <c r="H109" s="26" t="s">
        <v>16</v>
      </c>
      <c r="I109" s="26"/>
      <c r="K109" s="10">
        <f>L109/$L$110</f>
        <v>6.2111801242236021E-3</v>
      </c>
      <c r="L109" s="52">
        <f>-SUM(F89:K89)</f>
        <v>97500</v>
      </c>
    </row>
    <row r="110" spans="2:12" x14ac:dyDescent="0.4">
      <c r="B110" s="53" t="s">
        <v>85</v>
      </c>
      <c r="C110" s="53"/>
      <c r="D110" s="53"/>
      <c r="E110" s="75">
        <f>SUM(E107:E109)</f>
        <v>1</v>
      </c>
      <c r="F110" s="63">
        <f>L110</f>
        <v>15697500</v>
      </c>
      <c r="H110" s="53" t="s">
        <v>80</v>
      </c>
      <c r="I110" s="53"/>
      <c r="J110" s="53"/>
      <c r="K110" s="75">
        <f>SUM(K107:K109)</f>
        <v>1</v>
      </c>
      <c r="L110" s="63">
        <f>SUM(L107:L109)</f>
        <v>15697500</v>
      </c>
    </row>
    <row r="112" spans="2:12" x14ac:dyDescent="0.4">
      <c r="B112" s="61" t="s">
        <v>88</v>
      </c>
      <c r="C112" s="61"/>
      <c r="D112" s="61"/>
      <c r="E112" s="61"/>
      <c r="F112" s="61"/>
      <c r="H112" s="61" t="s">
        <v>99</v>
      </c>
      <c r="I112" s="61"/>
      <c r="J112" s="61"/>
      <c r="K112" s="61"/>
      <c r="L112" s="61"/>
    </row>
    <row r="113" spans="2:12" x14ac:dyDescent="0.4">
      <c r="C113" s="77" t="s">
        <v>66</v>
      </c>
      <c r="D113" s="77" t="s">
        <v>63</v>
      </c>
      <c r="E113" s="77" t="s">
        <v>64</v>
      </c>
      <c r="F113" s="77" t="s">
        <v>65</v>
      </c>
      <c r="I113" s="77" t="s">
        <v>76</v>
      </c>
      <c r="J113" s="77" t="s">
        <v>39</v>
      </c>
      <c r="K113" s="77" t="s">
        <v>106</v>
      </c>
      <c r="L113" s="77" t="s">
        <v>107</v>
      </c>
    </row>
    <row r="114" spans="2:12" x14ac:dyDescent="0.4">
      <c r="B114" t="s">
        <v>89</v>
      </c>
      <c r="C114" s="78">
        <f t="array" ref="C114:F114">TRANSPOSE(D80:D83)</f>
        <v>15000000</v>
      </c>
      <c r="D114" s="79">
        <v>0.10814949870109558</v>
      </c>
      <c r="E114" s="78">
        <v>9130454.3574890196</v>
      </c>
      <c r="F114" s="80">
        <v>1.6086969571659346</v>
      </c>
      <c r="H114" t="s">
        <v>100</v>
      </c>
      <c r="I114" s="9">
        <f t="array" ref="I114:I119">TRANSPOSE(G68:L68)</f>
        <v>950758.62068965519</v>
      </c>
      <c r="K114" s="23">
        <f t="shared" ref="K114:K119" si="30">I114/$L$110</f>
        <v>6.0567518438582907E-2</v>
      </c>
      <c r="L114" s="23">
        <f>K114-$E$119</f>
        <v>-1.9324815614170932E-3</v>
      </c>
    </row>
    <row r="115" spans="2:12" x14ac:dyDescent="0.4">
      <c r="B115" t="s">
        <v>90</v>
      </c>
      <c r="C115" s="78">
        <f t="array" ref="C115:F115">TRANSPOSE(D98:D101)</f>
        <v>5860720.2586206906</v>
      </c>
      <c r="D115" s="79">
        <v>0.17407967448234563</v>
      </c>
      <c r="E115" s="78">
        <v>6892829.3574890187</v>
      </c>
      <c r="F115" s="80">
        <v>2.1761061871789855</v>
      </c>
      <c r="H115" t="s">
        <v>101</v>
      </c>
      <c r="I115" s="9">
        <v>985108.62068965519</v>
      </c>
      <c r="J115" s="23">
        <f>I115/I114-1</f>
        <v>3.6129043957638274E-2</v>
      </c>
      <c r="K115" s="23">
        <f t="shared" si="30"/>
        <v>6.2755764974655528E-2</v>
      </c>
      <c r="L115" s="23">
        <f t="shared" ref="L115:L119" si="31">K115-$E$119</f>
        <v>2.557649746555285E-4</v>
      </c>
    </row>
    <row r="116" spans="2:12" x14ac:dyDescent="0.4">
      <c r="H116" t="s">
        <v>102</v>
      </c>
      <c r="I116" s="9">
        <v>1087718.8413793105</v>
      </c>
      <c r="J116" s="23">
        <f t="shared" ref="J116:J119" si="32">I116/I115-1</f>
        <v>0.10416132651221743</v>
      </c>
      <c r="K116" s="23">
        <f t="shared" si="30"/>
        <v>6.9292488700704605E-2</v>
      </c>
      <c r="L116" s="23">
        <f t="shared" si="31"/>
        <v>6.7924887007046048E-3</v>
      </c>
    </row>
    <row r="117" spans="2:12" x14ac:dyDescent="0.4">
      <c r="B117" s="61" t="s">
        <v>91</v>
      </c>
      <c r="C117" s="61"/>
      <c r="D117" s="61"/>
      <c r="E117" s="61"/>
      <c r="F117" s="61"/>
      <c r="H117" t="s">
        <v>103</v>
      </c>
      <c r="I117" s="9">
        <v>1138966.3083793104</v>
      </c>
      <c r="J117" s="23">
        <f t="shared" si="32"/>
        <v>4.7114626547255734E-2</v>
      </c>
      <c r="K117" s="23">
        <f t="shared" si="30"/>
        <v>7.2557178428368244E-2</v>
      </c>
      <c r="L117" s="23">
        <f t="shared" si="31"/>
        <v>1.0057178428368244E-2</v>
      </c>
    </row>
    <row r="118" spans="2:12" x14ac:dyDescent="0.4">
      <c r="D118" s="81" t="s">
        <v>92</v>
      </c>
      <c r="E118" s="81" t="s">
        <v>93</v>
      </c>
      <c r="F118" s="81" t="s">
        <v>51</v>
      </c>
      <c r="H118" t="s">
        <v>104</v>
      </c>
      <c r="I118" s="9">
        <v>1174923.7425493107</v>
      </c>
      <c r="J118" s="23">
        <f t="shared" si="32"/>
        <v>3.157023513818058E-2</v>
      </c>
      <c r="K118" s="23">
        <f t="shared" si="30"/>
        <v>7.4847825612314747E-2</v>
      </c>
      <c r="L118" s="23">
        <f t="shared" si="31"/>
        <v>1.2347825612314747E-2</v>
      </c>
    </row>
    <row r="119" spans="2:12" x14ac:dyDescent="0.4">
      <c r="B119" s="1" t="s">
        <v>60</v>
      </c>
      <c r="D119" s="64">
        <f>L68</f>
        <v>1212061.138987611</v>
      </c>
      <c r="E119" s="82">
        <f>H14</f>
        <v>6.25E-2</v>
      </c>
      <c r="F119" s="64">
        <f>D119/E119</f>
        <v>19392978.223801777</v>
      </c>
      <c r="H119" t="s">
        <v>105</v>
      </c>
      <c r="I119" s="9">
        <v>1212061.138987611</v>
      </c>
      <c r="J119" s="23">
        <f t="shared" si="32"/>
        <v>3.1608346221450034E-2</v>
      </c>
      <c r="K119" s="23">
        <f t="shared" si="30"/>
        <v>7.7213641598191496E-2</v>
      </c>
      <c r="L119" s="23">
        <f t="shared" si="31"/>
        <v>1.4713641598191496E-2</v>
      </c>
    </row>
    <row r="120" spans="2:12" x14ac:dyDescent="0.4">
      <c r="B120" t="s">
        <v>94</v>
      </c>
      <c r="F120" s="6">
        <f>K93</f>
        <v>-7312500</v>
      </c>
    </row>
    <row r="121" spans="2:12" x14ac:dyDescent="0.4">
      <c r="B121" s="26" t="s">
        <v>95</v>
      </c>
      <c r="C121" s="26"/>
      <c r="D121" s="26"/>
      <c r="E121" s="26"/>
      <c r="F121" s="52">
        <f>-C115</f>
        <v>-5860720.2586206906</v>
      </c>
    </row>
    <row r="122" spans="2:12" x14ac:dyDescent="0.4">
      <c r="B122" s="53" t="s">
        <v>96</v>
      </c>
      <c r="C122" s="30"/>
      <c r="D122" s="53"/>
      <c r="E122" s="53"/>
      <c r="F122" s="63">
        <f>SUM(F119:F121)</f>
        <v>6219757.9651810862</v>
      </c>
    </row>
    <row r="123" spans="2:12" x14ac:dyDescent="0.4">
      <c r="B123" s="26" t="s">
        <v>97</v>
      </c>
      <c r="C123" s="26"/>
      <c r="D123" s="26"/>
      <c r="E123" s="26"/>
      <c r="F123" s="52">
        <f>E115-F122</f>
        <v>673071.39230793249</v>
      </c>
    </row>
    <row r="124" spans="2:12" x14ac:dyDescent="0.4">
      <c r="B124" s="53" t="s">
        <v>98</v>
      </c>
      <c r="C124" s="30"/>
      <c r="D124" s="53"/>
      <c r="E124" s="53"/>
      <c r="F124" s="63">
        <f>SUM(F122:F123)</f>
        <v>6892829.3574890187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Empty</vt:lpstr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Hancock</dc:creator>
  <cp:lastModifiedBy>Aaron Hancock</cp:lastModifiedBy>
  <dcterms:created xsi:type="dcterms:W3CDTF">2020-10-26T17:26:28Z</dcterms:created>
  <dcterms:modified xsi:type="dcterms:W3CDTF">2020-10-30T15:07:07Z</dcterms:modified>
</cp:coreProperties>
</file>