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feld\Wall Street Prep Dropbox\Matan Feldman\Marketing\AI Tools Ranking\"/>
    </mc:Choice>
  </mc:AlternateContent>
  <xr:revisionPtr revIDLastSave="0" documentId="8_{9150B1E9-E41E-4CA0-8C28-1991A25E4406}" xr6:coauthVersionLast="47" xr6:coauthVersionMax="47" xr10:uidLastSave="{00000000-0000-0000-0000-000000000000}"/>
  <bookViews>
    <workbookView xWindow="-28920" yWindow="-120" windowWidth="29040" windowHeight="15840" xr2:uid="{42E3E90A-B3F7-4F70-9F13-80D5DFCCCA83}"/>
  </bookViews>
  <sheets>
    <sheet name="Model" sheetId="1" r:id="rId1"/>
    <sheet name="Schedules" sheetId="2" r:id="rId2"/>
    <sheet name="Sources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25" i="1"/>
  <c r="E29" i="2"/>
  <c r="D29" i="2"/>
  <c r="C29" i="2"/>
  <c r="E28" i="2"/>
  <c r="D28" i="2"/>
  <c r="C28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E23" i="2"/>
  <c r="D23" i="2"/>
  <c r="C23" i="2"/>
  <c r="F22" i="2"/>
  <c r="E22" i="2"/>
  <c r="D22" i="2"/>
  <c r="E19" i="2"/>
  <c r="D19" i="2"/>
  <c r="C19" i="2"/>
  <c r="E18" i="2"/>
  <c r="D18" i="2"/>
  <c r="C18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E8" i="2"/>
  <c r="D8" i="2"/>
  <c r="C8" i="2"/>
  <c r="I7" i="2"/>
  <c r="H7" i="2"/>
  <c r="G7" i="2"/>
  <c r="F7" i="2"/>
  <c r="E7" i="2"/>
  <c r="D7" i="2"/>
  <c r="C7" i="2"/>
  <c r="I6" i="2"/>
  <c r="H6" i="2"/>
  <c r="G6" i="2"/>
  <c r="F6" i="2"/>
  <c r="E6" i="2"/>
  <c r="D6" i="2"/>
  <c r="C6" i="2"/>
  <c r="I5" i="2"/>
  <c r="H5" i="2"/>
  <c r="G5" i="2"/>
  <c r="F5" i="2"/>
  <c r="E5" i="2"/>
  <c r="D5" i="2"/>
  <c r="E110" i="1"/>
  <c r="D110" i="1"/>
  <c r="C110" i="1"/>
  <c r="E109" i="1"/>
  <c r="D109" i="1"/>
  <c r="C109" i="1"/>
  <c r="E107" i="1"/>
  <c r="D107" i="1"/>
  <c r="C107" i="1"/>
  <c r="I103" i="1"/>
  <c r="H103" i="1"/>
  <c r="G103" i="1"/>
  <c r="F103" i="1"/>
  <c r="E103" i="1"/>
  <c r="D103" i="1"/>
  <c r="C103" i="1"/>
  <c r="I101" i="1"/>
  <c r="H101" i="1"/>
  <c r="G101" i="1"/>
  <c r="F101" i="1"/>
  <c r="I100" i="1"/>
  <c r="H100" i="1"/>
  <c r="G100" i="1"/>
  <c r="F100" i="1"/>
  <c r="I99" i="1"/>
  <c r="H99" i="1"/>
  <c r="G99" i="1"/>
  <c r="F99" i="1"/>
  <c r="E99" i="1"/>
  <c r="D99" i="1"/>
  <c r="C99" i="1"/>
  <c r="I96" i="1"/>
  <c r="H96" i="1"/>
  <c r="G96" i="1"/>
  <c r="F96" i="1"/>
  <c r="E96" i="1"/>
  <c r="D96" i="1"/>
  <c r="C96" i="1"/>
  <c r="I94" i="1"/>
  <c r="H94" i="1"/>
  <c r="G94" i="1"/>
  <c r="F94" i="1"/>
  <c r="I93" i="1"/>
  <c r="H93" i="1"/>
  <c r="G93" i="1"/>
  <c r="F93" i="1"/>
  <c r="E93" i="1"/>
  <c r="D93" i="1"/>
  <c r="C93" i="1"/>
  <c r="E90" i="1"/>
  <c r="D90" i="1"/>
  <c r="C90" i="1"/>
  <c r="I87" i="1"/>
  <c r="H87" i="1"/>
  <c r="G87" i="1"/>
  <c r="F87" i="1"/>
  <c r="E87" i="1"/>
  <c r="D87" i="1"/>
  <c r="C87" i="1"/>
  <c r="I86" i="1"/>
  <c r="H86" i="1"/>
  <c r="G86" i="1"/>
  <c r="F86" i="1"/>
  <c r="E86" i="1"/>
  <c r="D86" i="1"/>
  <c r="C86" i="1"/>
  <c r="E85" i="1"/>
  <c r="D85" i="1"/>
  <c r="C85" i="1"/>
  <c r="D81" i="1"/>
  <c r="C81" i="1"/>
  <c r="D79" i="1"/>
  <c r="C79" i="1"/>
  <c r="D75" i="1"/>
  <c r="C75" i="1"/>
  <c r="E71" i="1"/>
  <c r="E75" i="1" s="1"/>
  <c r="E79" i="1" s="1"/>
  <c r="E81" i="1" s="1"/>
  <c r="D71" i="1"/>
  <c r="C71" i="1"/>
  <c r="E65" i="1"/>
  <c r="D65" i="1"/>
  <c r="C65" i="1"/>
  <c r="F62" i="1"/>
  <c r="G62" i="1" s="1"/>
  <c r="H62" i="1" s="1"/>
  <c r="I62" i="1" s="1"/>
  <c r="E60" i="1"/>
  <c r="D60" i="1"/>
  <c r="C60" i="1"/>
  <c r="E51" i="1"/>
  <c r="D51" i="1"/>
  <c r="C51" i="1"/>
  <c r="E50" i="1"/>
  <c r="D50" i="1"/>
  <c r="C50" i="1"/>
  <c r="I48" i="1"/>
  <c r="H48" i="1"/>
  <c r="G48" i="1"/>
  <c r="F48" i="1"/>
  <c r="E48" i="1"/>
  <c r="D48" i="1"/>
  <c r="C48" i="1"/>
  <c r="E45" i="1"/>
  <c r="D45" i="1"/>
  <c r="C45" i="1"/>
  <c r="E44" i="1"/>
  <c r="D44" i="1"/>
  <c r="C44" i="1"/>
  <c r="E42" i="1"/>
  <c r="D42" i="1"/>
  <c r="C42" i="1"/>
  <c r="E40" i="1"/>
  <c r="D40" i="1"/>
  <c r="C40" i="1"/>
  <c r="I38" i="1"/>
  <c r="H38" i="1"/>
  <c r="G38" i="1"/>
  <c r="F38" i="1"/>
  <c r="E36" i="1"/>
  <c r="D36" i="1"/>
  <c r="C36" i="1"/>
  <c r="E35" i="1"/>
  <c r="D35" i="1"/>
  <c r="C35" i="1"/>
  <c r="E33" i="1"/>
  <c r="D33" i="1"/>
  <c r="C33" i="1"/>
  <c r="F31" i="1"/>
  <c r="E29" i="1"/>
  <c r="D29" i="1"/>
  <c r="C29" i="1"/>
  <c r="E28" i="1"/>
  <c r="D28" i="1"/>
  <c r="C28" i="1"/>
  <c r="F27" i="1"/>
  <c r="F26" i="1"/>
  <c r="E26" i="1"/>
  <c r="D26" i="1"/>
  <c r="G25" i="1"/>
  <c r="G11" i="2" s="1"/>
  <c r="F11" i="2" l="1"/>
  <c r="F32" i="1"/>
  <c r="F33" i="1" s="1"/>
  <c r="F57" i="1"/>
  <c r="F58" i="1"/>
  <c r="F28" i="1"/>
  <c r="F68" i="1"/>
  <c r="F71" i="1" s="1"/>
  <c r="F75" i="1" s="1"/>
  <c r="F59" i="1"/>
  <c r="G59" i="1" s="1"/>
  <c r="F69" i="1"/>
  <c r="F70" i="1"/>
  <c r="G69" i="1"/>
  <c r="G58" i="1"/>
  <c r="G32" i="1"/>
  <c r="G27" i="1"/>
  <c r="G26" i="1"/>
  <c r="H25" i="1"/>
  <c r="G57" i="1"/>
  <c r="G31" i="1"/>
  <c r="G33" i="1" s="1"/>
  <c r="F89" i="1"/>
  <c r="G70" i="1"/>
  <c r="F35" i="1" l="1"/>
  <c r="F29" i="1"/>
  <c r="H32" i="1"/>
  <c r="H11" i="2"/>
  <c r="I25" i="1"/>
  <c r="H31" i="1"/>
  <c r="H58" i="1"/>
  <c r="H69" i="1"/>
  <c r="H26" i="1"/>
  <c r="H27" i="1"/>
  <c r="H57" i="1"/>
  <c r="G68" i="1"/>
  <c r="G28" i="1"/>
  <c r="H70" i="1"/>
  <c r="H59" i="1"/>
  <c r="F50" i="1" l="1"/>
  <c r="F51" i="1" s="1"/>
  <c r="F36" i="1"/>
  <c r="F40" i="1"/>
  <c r="F41" i="1" s="1"/>
  <c r="H33" i="1"/>
  <c r="G71" i="1"/>
  <c r="G75" i="1" s="1"/>
  <c r="G89" i="1"/>
  <c r="I26" i="1"/>
  <c r="I32" i="1"/>
  <c r="I58" i="1"/>
  <c r="I69" i="1"/>
  <c r="I11" i="2"/>
  <c r="I27" i="1"/>
  <c r="I57" i="1"/>
  <c r="I31" i="1"/>
  <c r="G29" i="1"/>
  <c r="G35" i="1"/>
  <c r="H68" i="1"/>
  <c r="H28" i="1"/>
  <c r="I70" i="1"/>
  <c r="I59" i="1"/>
  <c r="H89" i="1" l="1"/>
  <c r="H71" i="1"/>
  <c r="H75" i="1" s="1"/>
  <c r="I33" i="1"/>
  <c r="F42" i="1"/>
  <c r="F44" i="1"/>
  <c r="I68" i="1"/>
  <c r="I28" i="1"/>
  <c r="F45" i="1"/>
  <c r="F85" i="1"/>
  <c r="F90" i="1" s="1"/>
  <c r="I29" i="1"/>
  <c r="I35" i="1"/>
  <c r="G36" i="1"/>
  <c r="G40" i="1"/>
  <c r="G50" i="1"/>
  <c r="G51" i="1" s="1"/>
  <c r="H35" i="1"/>
  <c r="H29" i="1"/>
  <c r="F47" i="1" l="1"/>
  <c r="F23" i="2"/>
  <c r="I71" i="1"/>
  <c r="I75" i="1" s="1"/>
  <c r="I89" i="1"/>
  <c r="F107" i="1"/>
  <c r="F55" i="1" s="1"/>
  <c r="F109" i="1"/>
  <c r="F110" i="1" s="1"/>
  <c r="I36" i="1"/>
  <c r="I40" i="1"/>
  <c r="I50" i="1"/>
  <c r="I51" i="1" s="1"/>
  <c r="G41" i="1"/>
  <c r="H36" i="1"/>
  <c r="H40" i="1"/>
  <c r="H50" i="1"/>
  <c r="H51" i="1" s="1"/>
  <c r="G42" i="1" l="1"/>
  <c r="G44" i="1"/>
  <c r="F60" i="1"/>
  <c r="F65" i="1" s="1"/>
  <c r="F18" i="2"/>
  <c r="F19" i="2" s="1"/>
  <c r="I41" i="1"/>
  <c r="G23" i="2"/>
  <c r="G85" i="1"/>
  <c r="G90" i="1" s="1"/>
  <c r="H41" i="1"/>
  <c r="G45" i="1" l="1"/>
  <c r="G47" i="1"/>
  <c r="H42" i="1"/>
  <c r="H44" i="1"/>
  <c r="H23" i="2" s="1"/>
  <c r="G22" i="2"/>
  <c r="F27" i="2"/>
  <c r="F28" i="2" s="1"/>
  <c r="F29" i="2" s="1"/>
  <c r="F79" i="1"/>
  <c r="F81" i="1" s="1"/>
  <c r="G109" i="1"/>
  <c r="G110" i="1" s="1"/>
  <c r="G107" i="1"/>
  <c r="G55" i="1" s="1"/>
  <c r="H45" i="1"/>
  <c r="H47" i="1"/>
  <c r="H85" i="1"/>
  <c r="H90" i="1" s="1"/>
  <c r="I42" i="1"/>
  <c r="I44" i="1"/>
  <c r="G60" i="1" l="1"/>
  <c r="G65" i="1" s="1"/>
  <c r="G77" i="1" s="1"/>
  <c r="G18" i="2"/>
  <c r="G19" i="2" s="1"/>
  <c r="H109" i="1"/>
  <c r="H110" i="1" s="1"/>
  <c r="H107" i="1"/>
  <c r="H55" i="1" s="1"/>
  <c r="I85" i="1"/>
  <c r="I90" i="1" s="1"/>
  <c r="I23" i="2"/>
  <c r="I47" i="1"/>
  <c r="I45" i="1"/>
  <c r="G27" i="2" l="1"/>
  <c r="G28" i="2" s="1"/>
  <c r="G29" i="2" s="1"/>
  <c r="H22" i="2"/>
  <c r="G79" i="1"/>
  <c r="G81" i="1" s="1"/>
  <c r="H60" i="1"/>
  <c r="H65" i="1" s="1"/>
  <c r="H77" i="1" s="1"/>
  <c r="H18" i="2"/>
  <c r="H19" i="2" s="1"/>
  <c r="I107" i="1"/>
  <c r="I55" i="1" s="1"/>
  <c r="I109" i="1"/>
  <c r="I110" i="1" s="1"/>
  <c r="I22" i="2" l="1"/>
  <c r="H27" i="2"/>
  <c r="H28" i="2" s="1"/>
  <c r="H29" i="2" s="1"/>
  <c r="H79" i="1"/>
  <c r="H81" i="1" s="1"/>
  <c r="I18" i="2"/>
  <c r="I19" i="2" s="1"/>
  <c r="I60" i="1"/>
  <c r="I65" i="1" s="1"/>
  <c r="I77" i="1" s="1"/>
  <c r="I27" i="2" l="1"/>
  <c r="I28" i="2" s="1"/>
  <c r="I29" i="2" s="1"/>
  <c r="I79" i="1"/>
  <c r="I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Matan Feldman</author>
  </authors>
  <commentList>
    <comment ref="C7" authorId="0" shapeId="0" xr:uid="{465C53CE-48F9-4EF2-80C6-48E9741D3E9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FY2022, calculated from FY2021 revenue of $365,817M. https://www.sec.gov/cgi-bin/browse-edgar?action=getcompany&amp;CIK=0000320193&amp;type=10-K</t>
        </r>
      </text>
    </comment>
    <comment ref="D7" authorId="0" shapeId="0" xr:uid="{60AF8C5F-2111-481B-AD5D-3815A581C87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Revenue declined 2.8% YoY. https://www.sec.gov/cgi-bin/browse-edgar?action=getcompany&amp;CIK=0000320193&amp;type=10-K</t>
        </r>
      </text>
    </comment>
    <comment ref="E7" authorId="0" shapeId="0" xr:uid="{22EED159-F17E-4882-9860-7A137830D2B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Revenue grew 2.0% YoY. https://www.sec.gov/cgi-bin/browse-edgar?action=getcompany&amp;CIK=0000320193&amp;type=10-K</t>
        </r>
      </text>
    </comment>
    <comment ref="F7" authorId="0" shapeId="0" xr:uid="{726D4F8A-CF1F-4607-B8E6-64A820E6D88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Wall Street consensus estimates, FY2025E. Revenue ~$408.6B. Based on Bloomberg/FactSet consensus as of early 2025.</t>
        </r>
      </text>
    </comment>
    <comment ref="G7" authorId="0" shapeId="0" xr:uid="{24C32BA2-DBA3-41AF-A1C5-CE0B40FE267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Wall Street consensus estimates, FY2026E. Revenue ~$439.2B. Acceleration driven by AI/services growth.</t>
        </r>
      </text>
    </comment>
    <comment ref="H7" authorId="0" shapeId="0" xr:uid="{0B0E0735-4EBE-4D59-985B-632C0607859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Wall Street consensus estimates, FY2027E. Revenue ~$467.7B.</t>
        </r>
      </text>
    </comment>
    <comment ref="I7" authorId="0" shapeId="0" xr:uid="{93EF9CB2-4CCF-43D8-A3E6-38A20EC32FD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Wall Street consensus estimates, FY2028E. Revenue ~$495.8B. Mature growth normalization.</t>
        </r>
      </text>
    </comment>
    <comment ref="C10" authorId="0" shapeId="0" xr:uid="{4E8451D6-CC0E-4A58-96BA-FA4633D365F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GP $170,782M / Rev $394,328M = 43.3%.</t>
        </r>
      </text>
    </comment>
    <comment ref="D10" authorId="0" shapeId="0" xr:uid="{AC626B53-ACCB-4DAE-98DE-C013A4C5F8B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GP $169,148M / Rev $383,285M = 44.1%.</t>
        </r>
      </text>
    </comment>
    <comment ref="E10" authorId="0" shapeId="0" xr:uid="{2634D1C7-47A0-44A1-BB30-C1B71A82BAB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GP $180,683M / Rev $391,035M = 46.2%.</t>
        </r>
      </text>
    </comment>
    <comment ref="F10" authorId="0" shapeId="0" xr:uid="{5DA2C0C7-6929-4C52-A47D-5568046C121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Consensus estimate FY2025E. Slight expansion from mix shift to services.</t>
        </r>
      </text>
    </comment>
    <comment ref="G10" authorId="0" shapeId="0" xr:uid="{8CDB2A9D-977D-4DC1-86C4-1834E048AAF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Consensus estimate FY2026E. Continued services mix benefit.</t>
        </r>
      </text>
    </comment>
    <comment ref="H10" authorId="0" shapeId="0" xr:uid="{F4EC31BE-D680-4D21-94D0-8F78AF4A8F5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Consensus estimate FY2027E. Gradual expansion.</t>
        </r>
      </text>
    </comment>
    <comment ref="I10" authorId="0" shapeId="0" xr:uid="{704A194C-8A05-4CB9-9098-70B74075502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Consensus estimate FY2028E. Approaching long-term target.</t>
        </r>
      </text>
    </comment>
    <comment ref="C11" authorId="0" shapeId="0" xr:uid="{8F7C3E04-AADA-4BEE-AC39-D141BF6C946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R&amp;D $26,251M / Rev $394,328M.</t>
        </r>
      </text>
    </comment>
    <comment ref="D11" authorId="0" shapeId="0" xr:uid="{00B4594C-F5DC-4445-94B9-684454B15EF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R&amp;D $29,915M / Rev $383,285M.</t>
        </r>
      </text>
    </comment>
    <comment ref="E11" authorId="0" shapeId="0" xr:uid="{EF96CEBA-CBB5-4E93-BC84-5B3A7C38316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R&amp;D $31,370M / Rev $391,035M.</t>
        </r>
      </text>
    </comment>
    <comment ref="F11" authorId="0" shapeId="0" xr:uid="{ED5CC81A-BF53-4E04-B9D1-3353F84AFED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Slight increase due to AI/ML investment.</t>
        </r>
      </text>
    </comment>
    <comment ref="G11" authorId="0" shapeId="0" xr:uid="{EFE40D4E-5294-49E5-B759-705EB06E92D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R&amp;D investment in new product categories.</t>
        </r>
      </text>
    </comment>
    <comment ref="H11" authorId="0" shapeId="0" xr:uid="{A4D54DFA-ADA5-4588-89BB-86D548E96E0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Stabilizing at ~8.3% of revenue.</t>
        </r>
      </text>
    </comment>
    <comment ref="I11" authorId="0" shapeId="0" xr:uid="{491CC7A1-ADE2-4194-B921-F2FA429B800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Slight leverage as revenue scales.</t>
        </r>
      </text>
    </comment>
    <comment ref="C12" authorId="0" shapeId="0" xr:uid="{0FF150A4-E439-4465-A34A-4A26FC4E22F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SG&amp;A $25,094M / Rev $394,328M.</t>
        </r>
      </text>
    </comment>
    <comment ref="D12" authorId="0" shapeId="0" xr:uid="{DFDB16C4-7557-4A86-9656-3D185BBB573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SG&amp;A $24,932M / Rev $383,285M.</t>
        </r>
      </text>
    </comment>
    <comment ref="E12" authorId="0" shapeId="0" xr:uid="{0E4DC6E6-699C-496C-8021-FDB714C4A17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SG&amp;A $26,146M / Rev $391,035M.</t>
        </r>
      </text>
    </comment>
    <comment ref="F12" authorId="0" shapeId="0" xr:uid="{28E84093-31A1-4FA0-8E93-6DA3B2302521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SG&amp;A leverage improvement with revenue growth.</t>
        </r>
      </text>
    </comment>
    <comment ref="G12" authorId="0" shapeId="0" xr:uid="{EC458334-03C1-4B38-81D8-B3E05BD832A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operating leverage.</t>
        </r>
      </text>
    </comment>
    <comment ref="H12" authorId="0" shapeId="0" xr:uid="{BC989DD0-D20B-4A56-9E0F-C5063EAA53D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Modest efficiency gains.</t>
        </r>
      </text>
    </comment>
    <comment ref="I12" authorId="0" shapeId="0" xr:uid="{C5932A83-A00F-424A-B164-B5DB9B6FDDD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Long-term SG&amp;A efficiency.</t>
        </r>
      </text>
    </comment>
    <comment ref="C15" authorId="0" shapeId="0" xr:uid="{4F078354-4200-4EC7-949A-EC04EF8E376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Tax $19,300M / PBT $119,103M = 16.2%.</t>
        </r>
      </text>
    </comment>
    <comment ref="D15" authorId="0" shapeId="0" xr:uid="{44EA85F0-1EC3-43FF-8019-18D3C3249C01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Tax $16,741M / PBT $113,736M = 14.7%.</t>
        </r>
      </text>
    </comment>
    <comment ref="E15" authorId="0" shapeId="0" xr:uid="{23A18B52-9100-4B79-91D4-BA7C531874F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Tax $29,749M / PBT $123,417M = 24.1%. Elevated due to one-time EU tax ruling charge (~$10B).</t>
        </r>
      </text>
    </comment>
    <comment ref="F15" authorId="0" shapeId="0" xr:uid="{34550A3C-6363-4058-90CE-96682F225D2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Normalized ETR excluding FY2024 one-time EU charge.</t>
        </r>
      </text>
    </comment>
    <comment ref="G15" authorId="0" shapeId="0" xr:uid="{49DA956C-2B17-475D-8630-708AB536E2B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Slight improvement from tax planning.</t>
        </r>
      </text>
    </comment>
    <comment ref="H15" authorId="0" shapeId="0" xr:uid="{083D2634-B850-4027-A245-D2CDB998F7B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Gradual tax optimization.</t>
        </r>
      </text>
    </comment>
    <comment ref="I15" authorId="0" shapeId="0" xr:uid="{D8758521-4289-4793-9821-6FF68765CF9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Steady-state tax rate.</t>
        </r>
      </text>
    </comment>
    <comment ref="C16" authorId="0" shapeId="0" xr:uid="{FF3458BC-952E-4A6D-94D9-8CC07CED430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Cash flow statement.</t>
        </r>
      </text>
    </comment>
    <comment ref="D16" authorId="0" shapeId="0" xr:uid="{17C304B5-638D-415D-B403-28181CC3DAA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Cash flow statement.</t>
        </r>
      </text>
    </comment>
    <comment ref="E16" authorId="0" shapeId="0" xr:uid="{E829766F-D85D-43F4-A564-0CEB98D037D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Cash flow statement.</t>
        </r>
      </text>
    </comment>
    <comment ref="F16" authorId="0" shapeId="0" xr:uid="{0137F545-E526-4928-BFD4-DF235AB52FC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Slight increase in line with CapEx growth.</t>
        </r>
      </text>
    </comment>
    <comment ref="G16" authorId="0" shapeId="0" xr:uid="{55E48952-6374-44E3-AF2B-DD5D8ADDB0F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Growing with PP&amp;E base.</t>
        </r>
      </text>
    </comment>
    <comment ref="H16" authorId="0" shapeId="0" xr:uid="{9B66A735-BB06-475A-AAE9-D15584DB0C1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growth.</t>
        </r>
      </text>
    </comment>
    <comment ref="I16" authorId="0" shapeId="0" xr:uid="{DFB0F011-A651-46CE-8D2B-20ACEBD754D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 growth.</t>
        </r>
      </text>
    </comment>
    <comment ref="C17" authorId="0" shapeId="0" xr:uid="{5A5022D7-09E3-4431-A00C-15CF0E32DED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Cash flow statement.</t>
        </r>
      </text>
    </comment>
    <comment ref="D17" authorId="0" shapeId="0" xr:uid="{A8CA6FF5-1E63-4035-BF09-034F3F9E2AB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Cash flow statement.</t>
        </r>
      </text>
    </comment>
    <comment ref="E17" authorId="0" shapeId="0" xr:uid="{F8542422-35F6-43F6-990E-C749C04178F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Cash flow statement.</t>
        </r>
      </text>
    </comment>
    <comment ref="F17" authorId="0" shapeId="0" xr:uid="{FF5C5C7F-ACA0-4105-BF6F-C2FA532BD49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~2.7% of revenue, increasing for AI infrastructure.</t>
        </r>
      </text>
    </comment>
    <comment ref="G17" authorId="0" shapeId="0" xr:uid="{EB1173EA-0EEC-4351-84E2-3E6E5D0CEA0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~2.8% of revenue.</t>
        </r>
      </text>
    </comment>
    <comment ref="H17" authorId="0" shapeId="0" xr:uid="{C0954120-8795-44EA-B632-2EB30F10A12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~2.9% of revenue.</t>
        </r>
      </text>
    </comment>
    <comment ref="I17" authorId="0" shapeId="0" xr:uid="{1B4F8F8C-C7C0-4F6E-9F0B-7528DDCF5B3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~2.8% of revenue.</t>
        </r>
      </text>
    </comment>
    <comment ref="C18" authorId="0" shapeId="0" xr:uid="{28FEDD0C-EFB9-4CA3-8923-278776444A6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Cash flow statement.</t>
        </r>
      </text>
    </comment>
    <comment ref="D18" authorId="0" shapeId="0" xr:uid="{D5754C54-F772-4F01-BA55-33D908D011B1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Cash flow statement.</t>
        </r>
      </text>
    </comment>
    <comment ref="E18" authorId="0" shapeId="0" xr:uid="{804AE8B3-317A-46FA-B08C-E304D8B0A4A1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Cash flow statement.</t>
        </r>
      </text>
    </comment>
    <comment ref="F18" authorId="0" shapeId="0" xr:uid="{A8B3BF13-E3E1-42F8-87E1-31EB3A929A2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~3.1% of revenue, growing with headcount.</t>
        </r>
      </text>
    </comment>
    <comment ref="G18" authorId="0" shapeId="0" xr:uid="{55F7809E-E04F-4BC3-A3D9-82E042A6A352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~3.1% of revenue.</t>
        </r>
      </text>
    </comment>
    <comment ref="H18" authorId="0" shapeId="0" xr:uid="{C411CFEA-DD6B-487B-A12B-765965DA6F3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~3.1% of revenue.</t>
        </r>
      </text>
    </comment>
    <comment ref="I18" authorId="0" shapeId="0" xr:uid="{874C3832-CF57-40C0-899C-3509ECBE28E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~3.1% of revenue.</t>
        </r>
      </text>
    </comment>
    <comment ref="C19" authorId="0" shapeId="0" xr:uid="{6CB42ADD-A3A4-41B3-9ED5-A06EF6C0209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Other income/(expense), net.</t>
        </r>
      </text>
    </comment>
    <comment ref="D19" authorId="0" shapeId="0" xr:uid="{18CC5C57-EBA7-433B-9A65-659E319A60F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Other income/(expense), net.</t>
        </r>
      </text>
    </comment>
    <comment ref="E19" authorId="0" shapeId="0" xr:uid="{45EEAD15-8960-476A-8E0E-E81396A19943}">
      <text>
        <r>
          <rPr>
            <b/>
            <sz val="9"/>
            <color indexed="81"/>
            <rFont val="Tahoma"/>
            <charset val="1"/>
          </rPr>
          <t>Source: Apple 10-K FY2024. Other income/(expense), net.</t>
        </r>
      </text>
    </comment>
    <comment ref="F19" authorId="0" shapeId="0" xr:uid="{61564051-5851-43DB-8391-5F29A5C6285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Modest net interest income given large cash balance.</t>
        </r>
      </text>
    </comment>
    <comment ref="G19" authorId="0" shapeId="0" xr:uid="{44786C33-453B-475E-A85B-B1BDBA3AB0E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Slight decline as rates normalize.</t>
        </r>
      </text>
    </comment>
    <comment ref="H19" authorId="0" shapeId="0" xr:uid="{5D2CDE34-84BA-4F82-818D-000359E2750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rate normalization.</t>
        </r>
      </text>
    </comment>
    <comment ref="I19" authorId="0" shapeId="0" xr:uid="{FE426ED7-F09A-4B96-9A4E-59A76AE35E3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 state.</t>
        </r>
      </text>
    </comment>
    <comment ref="C20" authorId="0" shapeId="0" xr:uid="{4C464CCB-7BE8-47F5-83F5-9D2E5198D8A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$14,841M total / ~16.2B shares.</t>
        </r>
      </text>
    </comment>
    <comment ref="D20" authorId="0" shapeId="0" xr:uid="{1F1A0909-C1B5-4D9C-B0F4-DC2338D96DE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$15,025M total / ~15.7B shares.</t>
        </r>
      </text>
    </comment>
    <comment ref="E20" authorId="0" shapeId="0" xr:uid="{D300A499-89CD-4159-A4C2-A44444310E2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$15,234M total / ~15.3B shares.</t>
        </r>
      </text>
    </comment>
    <comment ref="F20" authorId="0" shapeId="0" xr:uid="{F0ACFD1A-19A8-402F-8BE1-AE8A89E4471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~4% annual dividend growth, consistent with historical pattern.</t>
        </r>
      </text>
    </comment>
    <comment ref="G20" authorId="0" shapeId="0" xr:uid="{E01004EE-6EC8-4DD0-BE6C-C85B312F2D3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~4% annual dividend growth.</t>
        </r>
      </text>
    </comment>
    <comment ref="H20" authorId="0" shapeId="0" xr:uid="{0000213B-8781-458C-AECE-9315E3DE1BA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~4% annual dividend growth.</t>
        </r>
      </text>
    </comment>
    <comment ref="I20" authorId="0" shapeId="0" xr:uid="{3249C8FC-1ACE-49FB-A188-4E6CC5749BD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~4% annual dividend growth.</t>
        </r>
      </text>
    </comment>
    <comment ref="C21" authorId="0" shapeId="0" xr:uid="{7ED9ECB9-4917-46FE-A719-DF2B0E8B70B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Cash flow statement.</t>
        </r>
      </text>
    </comment>
    <comment ref="D21" authorId="0" shapeId="0" xr:uid="{30EE9E5F-E570-4634-8C0C-DBE50FCEDFD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Cash flow statement.</t>
        </r>
      </text>
    </comment>
    <comment ref="E21" authorId="0" shapeId="0" xr:uid="{F1BFAA86-54DD-41D6-9CD5-89DC3D4254D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Cash flow statement.</t>
        </r>
      </text>
    </comment>
    <comment ref="F21" authorId="0" shapeId="0" xr:uid="{9EB627CB-9666-4BD4-BD6C-728E5AE0809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aggressive buyback program per $110B authorization (May 2024).</t>
        </r>
      </text>
    </comment>
    <comment ref="G21" authorId="0" shapeId="0" xr:uid="{8117656A-0932-4E96-8ABA-A7C39B2E074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 buyback pace.</t>
        </r>
      </text>
    </comment>
    <comment ref="H21" authorId="0" shapeId="0" xr:uid="{40455CF1-7CEA-465F-B315-A71482F50DE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Consistent capital return.</t>
        </r>
      </text>
    </comment>
    <comment ref="I21" authorId="0" shapeId="0" xr:uid="{B3DA3682-AB25-4D8E-AED4-4EB6401F7C7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buybacks funded by FCF.</t>
        </r>
      </text>
    </comment>
    <comment ref="C22" authorId="0" shapeId="0" xr:uid="{1FC44905-3DE1-4F95-97C0-46617CBF662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Diluted shares: 16,325.8M.</t>
        </r>
      </text>
    </comment>
    <comment ref="D22" authorId="0" shapeId="0" xr:uid="{CD142781-6F3A-43FD-8D41-9656E6060AC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Diluted shares: 15,812.5M.</t>
        </r>
      </text>
    </comment>
    <comment ref="E22" authorId="0" shapeId="0" xr:uid="{B47B7DC6-40C4-49E8-ADCE-AB9C9969850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Diluted shares: 15,408.1M.</t>
        </r>
      </text>
    </comment>
    <comment ref="F22" authorId="0" shapeId="0" xr:uid="{D60878FB-200A-47A3-833F-C4DC962E58A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~2.3% annual diluted share reduction from buybacks net of SBC dilution.</t>
        </r>
      </text>
    </comment>
    <comment ref="G22" authorId="0" shapeId="0" xr:uid="{5C180569-F2CA-44C5-A5FA-9A0F1A34D73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net share count reduction.</t>
        </r>
      </text>
    </comment>
    <comment ref="H22" authorId="0" shapeId="0" xr:uid="{261259C0-F1A1-4360-9E72-59E0CBB9363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~2.3% reduction.</t>
        </r>
      </text>
    </comment>
    <comment ref="I22" authorId="0" shapeId="0" xr:uid="{81025009-FB49-426B-9186-FC781B698B2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~2.3% reduction.</t>
        </r>
      </text>
    </comment>
    <comment ref="C25" authorId="0" shapeId="0" xr:uid="{9124D9FA-0967-45E0-823A-268AAEDA6B4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FY2022, Consolidated Statements of Operations. https://www.sec.gov/cgi-bin/browse-edgar?action=getcompany&amp;CIK=0000320193&amp;type=10-K</t>
        </r>
      </text>
    </comment>
    <comment ref="D25" authorId="0" shapeId="0" xr:uid="{9B61AB1D-D45E-4724-A386-B9F9CADFCEC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FY2023, Consolidated Statements of Operations.</t>
        </r>
      </text>
    </comment>
    <comment ref="E25" authorId="0" shapeId="0" xr:uid="{EB43E566-2BFC-4AE7-A37C-1E3AFB1A32A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FY2024, Consolidated Statements of Operations. https://investor.apple.com/sec-filings/default.aspx</t>
        </r>
      </text>
    </comment>
    <comment ref="C27" authorId="0" shapeId="0" xr:uid="{93D95316-A022-40F7-B397-C5ED04FA464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27" authorId="0" shapeId="0" xr:uid="{BE65CF19-0284-4BEE-AE65-FABF3B352EE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27" authorId="0" shapeId="0" xr:uid="{655B0D5A-B000-44CF-B0D3-B3E2B5C03D2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31" authorId="0" shapeId="0" xr:uid="{69505E05-BAAA-42B2-9C9A-221D5B1B605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31" authorId="0" shapeId="0" xr:uid="{48F4644A-3F00-4305-9AA6-8DAACF18D9D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31" authorId="0" shapeId="0" xr:uid="{4E201FE8-1F11-4282-AD17-CE9F9C861F5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32" authorId="0" shapeId="0" xr:uid="{8FF9B181-DFB6-4A94-A2AD-CE139BE8FC3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32" authorId="0" shapeId="0" xr:uid="{B3C03FB1-B727-4582-BB0F-2DC3A724493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32" authorId="0" shapeId="0" xr:uid="{6C660A32-F078-49AB-9AE0-598B0919227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38" authorId="0" shapeId="0" xr:uid="{E013B933-2089-4CE7-9C1F-8CCE812363F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38" authorId="0" shapeId="0" xr:uid="{E34FB433-02E8-4978-B61D-5D5B874E55B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38" authorId="0" shapeId="0" xr:uid="{5A8FD0F4-960D-4B14-9745-5EC03ACCBE8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41" authorId="0" shapeId="0" xr:uid="{58D8A9B3-FE76-4BFB-BD00-3ADD6D5A54E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41" authorId="0" shapeId="0" xr:uid="{421E0514-9914-433F-A369-C849CEDC6FD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41" authorId="0" shapeId="0" xr:uid="{05466761-5ED4-45B4-9072-2195FDA3B1A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Includes ~$10B one-time EU tax charge.</t>
        </r>
      </text>
    </comment>
    <comment ref="C47" authorId="0" shapeId="0" xr:uid="{7D04493C-3392-4C66-BD21-6BB44E5A8FC2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47" authorId="0" shapeId="0" xr:uid="{2C460291-C037-4935-A8E5-32586A353D62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47" authorId="0" shapeId="0" xr:uid="{3F0383AC-E4F5-426B-9F3A-35ED5B735B6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55" authorId="0" shapeId="0" xr:uid="{E276A61C-EC9E-4779-B7F6-622A5C3FBBF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FY2022, Consolidated Balance Sheet.</t>
        </r>
      </text>
    </comment>
    <comment ref="D55" authorId="0" shapeId="0" xr:uid="{B9B0B8C0-6BB3-4BBF-B047-CB2AB694A8D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FY2023, Consolidated Balance Sheet.</t>
        </r>
      </text>
    </comment>
    <comment ref="E55" authorId="0" shapeId="0" xr:uid="{300C101E-45AF-4578-8CE0-20B69B90555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FY2024, Consolidated Balance Sheet.</t>
        </r>
      </text>
    </comment>
    <comment ref="C56" authorId="0" shapeId="0" xr:uid="{3598EDE2-A3F5-45D3-BE5B-7FC08EBA7EF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56" authorId="0" shapeId="0" xr:uid="{F51A06D4-4A44-450B-8A40-587BD2C2C48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56" authorId="0" shapeId="0" xr:uid="{9BD15A66-C734-4D14-84D8-66D0652A2B1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F56" authorId="0" shapeId="0" xr:uid="{7E9CBE72-3B7D-4A4A-9598-991AF2243C7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Roughly flat, managed per capital allocation.</t>
        </r>
      </text>
    </comment>
    <comment ref="G56" authorId="0" shapeId="0" xr:uid="{05551967-1A5C-40B8-A501-E03018C485A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Slight growth.</t>
        </r>
      </text>
    </comment>
    <comment ref="H56" authorId="0" shapeId="0" xr:uid="{D6EDE8B4-CE50-45BF-ABE4-A7E90856D55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Slight growth.</t>
        </r>
      </text>
    </comment>
    <comment ref="I56" authorId="0" shapeId="0" xr:uid="{E09AC70C-FC30-4C70-8221-46613075457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Slight growth.</t>
        </r>
      </text>
    </comment>
    <comment ref="C57" authorId="0" shapeId="0" xr:uid="{69BCAB15-C056-4C22-B0B1-63F0039179D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57" authorId="0" shapeId="0" xr:uid="{C9A79B1A-5ABA-46E8-8A18-439A52D9D3B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57" authorId="0" shapeId="0" xr:uid="{8CA55E7F-C8CE-4A1D-B437-B39F02D5EDF1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58" authorId="0" shapeId="0" xr:uid="{CD7BC820-BFC0-4AB6-93E7-CA53C7F2AC9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58" authorId="0" shapeId="0" xr:uid="{F5187DDF-6D72-489A-8413-9BD9B3AE333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58" authorId="0" shapeId="0" xr:uid="{11850880-4EFE-4E59-BC3F-F46340FCC29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59" authorId="0" shapeId="0" xr:uid="{88FC066E-82CF-4744-AAF1-E3C49E7BB06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Vendor non-trade receivables ($32,748M) + other ($21,223M).</t>
        </r>
      </text>
    </comment>
    <comment ref="D59" authorId="0" shapeId="0" xr:uid="{C7CFB93A-A9E6-4A26-9958-F40521DBB12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Vendor non-trade receivables ($31,477M) + other ($14,695M).</t>
        </r>
      </text>
    </comment>
    <comment ref="E59" authorId="0" shapeId="0" xr:uid="{1E5FCFC8-1529-402C-97ED-144666A2F11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Vendor non-trade receivables ($32,833M) + other ($14,287M).</t>
        </r>
      </text>
    </comment>
    <comment ref="C62" authorId="0" shapeId="0" xr:uid="{9522E9D0-F369-4B62-8382-8C363FB992B2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62" authorId="0" shapeId="0" xr:uid="{E03140D8-E2C2-4F7E-B7AF-4EF91EE3250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62" authorId="0" shapeId="0" xr:uid="{60A4E086-A6DF-44B7-81CA-6B8E790D8FF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63" authorId="0" shapeId="0" xr:uid="{FF254461-22C0-409C-96CD-B7F00A8F50C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63" authorId="0" shapeId="0" xr:uid="{07413672-3879-420C-996D-13AF07EADDB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63" authorId="0" shapeId="0" xr:uid="{2428F18F-3295-47E5-AC36-10E7C3D0A97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F63" authorId="0" shapeId="0" xr:uid="{EAE3AE56-570A-423D-A9AD-8F84C5987E0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gradual decline per capital return strategy.</t>
        </r>
      </text>
    </comment>
    <comment ref="G63" authorId="0" shapeId="0" xr:uid="{C40BDAC1-779C-400F-8262-C56D182818D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wind-down.</t>
        </r>
      </text>
    </comment>
    <comment ref="H63" authorId="0" shapeId="0" xr:uid="{F3BEDD3E-027F-44A1-AE2E-8C753CC9B6F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Gradual decline.</t>
        </r>
      </text>
    </comment>
    <comment ref="I63" authorId="0" shapeId="0" xr:uid="{7CE77544-A78C-415A-B543-1502BEB26E5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Approaching steady state.</t>
        </r>
      </text>
    </comment>
    <comment ref="C64" authorId="0" shapeId="0" xr:uid="{75E15B7A-79A1-4925-AAEB-AFF6ACE7229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Includes goodwill, intangibles, other.</t>
        </r>
      </text>
    </comment>
    <comment ref="D64" authorId="0" shapeId="0" xr:uid="{E7224406-8535-441B-B476-4810225D1F7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64" authorId="0" shapeId="0" xr:uid="{8E32A8B1-7AA4-46FD-916D-D9F3BAA79D9E}">
      <text>
        <r>
          <rPr>
            <b/>
            <sz val="9"/>
            <color indexed="81"/>
            <rFont val="Tahoma"/>
            <charset val="1"/>
          </rPr>
          <t>Source: Apple 10-K FY2024. Includes goodwill, intangibles, other non-current. Adjusted to balance.</t>
        </r>
      </text>
    </comment>
    <comment ref="F64" authorId="0" shapeId="0" xr:uid="{F16B11F1-A773-4C9F-8AA1-D2CBE503C139}">
      <text>
        <r>
          <rPr>
            <b/>
            <sz val="9"/>
            <color indexed="81"/>
            <rFont val="Tahoma"/>
            <charset val="1"/>
          </rPr>
          <t>Assumption: Modest growth from operating lease ROU assets and other.</t>
        </r>
      </text>
    </comment>
    <comment ref="G64" authorId="0" shapeId="0" xr:uid="{4DEFC23B-9594-4D68-8171-22E385A7CE7F}">
      <text>
        <r>
          <rPr>
            <b/>
            <sz val="9"/>
            <color indexed="81"/>
            <rFont val="Tahoma"/>
            <charset val="1"/>
          </rPr>
          <t>Assumption: Gradual growth.</t>
        </r>
      </text>
    </comment>
    <comment ref="H64" authorId="0" shapeId="0" xr:uid="{AF518A86-030B-4049-85CE-977C7D8F8B9B}">
      <text>
        <r>
          <rPr>
            <b/>
            <sz val="9"/>
            <color indexed="81"/>
            <rFont val="Tahoma"/>
            <charset val="1"/>
          </rPr>
          <t>Assumption: Gradual growth.</t>
        </r>
      </text>
    </comment>
    <comment ref="I64" authorId="0" shapeId="0" xr:uid="{91CE4F48-9801-480C-A8B4-F26954165B11}">
      <text>
        <r>
          <rPr>
            <b/>
            <sz val="9"/>
            <color indexed="81"/>
            <rFont val="Tahoma"/>
            <charset val="1"/>
          </rPr>
          <t>Assumption: Gradual growth.</t>
        </r>
      </text>
    </comment>
    <comment ref="C68" authorId="0" shapeId="0" xr:uid="{991B8EDB-75B5-4B04-8160-FDF9554A899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68" authorId="0" shapeId="0" xr:uid="{417A2F87-A37D-4504-9BBF-D303B808A0A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68" authorId="0" shapeId="0" xr:uid="{DDD6B2E7-DD45-4A25-BAAE-E1B167C5B15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69" authorId="0" shapeId="0" xr:uid="{FF2FC8B1-E20D-4BBE-9D3E-5B1CCFE3A4D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69" authorId="0" shapeId="0" xr:uid="{9BB60CB0-0ADE-4EAA-97AB-15E95D3E0F4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69" authorId="0" shapeId="0" xr:uid="{09C77F6D-97D9-40D9-9903-B45E51A2A2F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70" authorId="0" shapeId="0" xr:uid="{A58783D4-0D5B-4F37-AE01-2880B90A4B7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Commercial paper ($9,982M) + current term debt ($11,128M) + other ($60,845M).</t>
        </r>
      </text>
    </comment>
    <comment ref="D70" authorId="0" shapeId="0" xr:uid="{64F5C710-20E1-4245-A111-C315572AA004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Commercial paper ($5,985M) + current term debt ($9,822M) + other ($58,829M).</t>
        </r>
      </text>
    </comment>
    <comment ref="E70" authorId="0" shapeId="0" xr:uid="{5E70CBDC-093A-4058-80C9-6150A0CD4625}">
      <text>
        <r>
          <rPr>
            <b/>
            <sz val="9"/>
            <color indexed="81"/>
            <rFont val="Tahoma"/>
            <charset val="1"/>
          </rPr>
          <t>Source: Apple 10-K FY2024. Commercial paper ($9,967M) + current term debt ($10,912M) + other current liabilities ($63,602M) + accrued expenses ($14,702M).</t>
        </r>
      </text>
    </comment>
    <comment ref="C73" authorId="0" shapeId="0" xr:uid="{C811DE55-F3E3-459F-8142-005956ADA7D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73" authorId="0" shapeId="0" xr:uid="{33248D19-470E-456C-A71A-ADC228422B1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73" authorId="0" shapeId="0" xr:uid="{D4420DD6-89BD-4125-BE89-B46819BAE4C1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F73" authorId="0" shapeId="0" xr:uid="{DD3B4BB3-E38E-4F03-BF15-5D1CD1DBE85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Gradual deleveraging, ~$5B annual reduction.</t>
        </r>
      </text>
    </comment>
    <comment ref="G73" authorId="0" shapeId="0" xr:uid="{7AB6B10C-F725-492F-A088-AAA15C1FF81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deleveraging.</t>
        </r>
      </text>
    </comment>
    <comment ref="H73" authorId="0" shapeId="0" xr:uid="{3804EF10-C803-4995-BAE1-B72EB811A9B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deleveraging.</t>
        </r>
      </text>
    </comment>
    <comment ref="I73" authorId="0" shapeId="0" xr:uid="{14B43A03-8D57-4375-A878-E3444BFD259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Continued deleveraging.</t>
        </r>
      </text>
    </comment>
    <comment ref="C74" authorId="0" shapeId="0" xr:uid="{69C81EFF-BCC4-4C13-A14E-76852E4370A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74" authorId="0" shapeId="0" xr:uid="{07F236C7-5126-4366-B400-CF86D0EAB84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74" authorId="0" shapeId="0" xr:uid="{C0D2BB0E-EFB0-48F8-A9BA-39EC25C289E4}">
      <text>
        <r>
          <rPr>
            <b/>
            <sz val="9"/>
            <color indexed="81"/>
            <rFont val="Tahoma"/>
            <charset val="1"/>
          </rPr>
          <t>Source: Apple 10-K FY2024. Non-current liabilities ex-LTD. Adjusted to balance.</t>
        </r>
      </text>
    </comment>
    <comment ref="F74" authorId="0" shapeId="0" xr:uid="{94266BD7-224C-4635-80EA-AFF1FADD1557}">
      <text>
        <r>
          <rPr>
            <b/>
            <sz val="9"/>
            <color indexed="81"/>
            <rFont val="Tahoma"/>
            <charset val="1"/>
          </rPr>
          <t>Assumption: Roughly flat post-EU settlement normalization.</t>
        </r>
      </text>
    </comment>
    <comment ref="G74" authorId="0" shapeId="0" xr:uid="{6DCC9CCC-8067-4DB8-A4F6-F8DC53EAAD9A}">
      <text>
        <r>
          <rPr>
            <b/>
            <sz val="9"/>
            <color indexed="81"/>
            <rFont val="Tahoma"/>
            <charset val="1"/>
          </rPr>
          <t>Assumption: Modest growth.</t>
        </r>
      </text>
    </comment>
    <comment ref="H74" authorId="0" shapeId="0" xr:uid="{CD60B5B3-F62A-429E-B340-C1A245274A77}">
      <text>
        <r>
          <rPr>
            <b/>
            <sz val="9"/>
            <color indexed="81"/>
            <rFont val="Tahoma"/>
            <charset val="1"/>
          </rPr>
          <t>Assumption: Modest growth.</t>
        </r>
      </text>
    </comment>
    <comment ref="I74" authorId="0" shapeId="0" xr:uid="{A3A2987B-D00D-45BA-A0DC-DBD0239A8A02}">
      <text>
        <r>
          <rPr>
            <b/>
            <sz val="9"/>
            <color indexed="81"/>
            <rFont val="Tahoma"/>
            <charset val="1"/>
          </rPr>
          <t>Assumption: Modest growth.</t>
        </r>
      </text>
    </comment>
    <comment ref="C77" authorId="0" shapeId="0" xr:uid="{AA24B8EA-10EB-4BB4-8E8B-CE1869FDE001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77" authorId="0" shapeId="0" xr:uid="{A8382280-8440-41B3-B626-F46B91FC1DD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77" authorId="0" shapeId="0" xr:uid="{DE5DBDD2-51AF-4283-A84D-09BE0917998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88" authorId="0" shapeId="0" xr:uid="{2E81D083-BC30-4D7D-9EED-2D14F9AA177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Deferred tax + other.</t>
        </r>
      </text>
    </comment>
    <comment ref="D88" authorId="0" shapeId="0" xr:uid="{D043A129-91ED-4673-9273-A4C3CC53E74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Deferred tax + other.</t>
        </r>
      </text>
    </comment>
    <comment ref="E88" authorId="0" shapeId="0" xr:uid="{68717918-B23A-49C2-AEDD-2066751ED54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Deferred tax + other.</t>
        </r>
      </text>
    </comment>
    <comment ref="F88" authorId="0" shapeId="0" xr:uid="{8D1E4F27-6C4B-43EE-9784-D84A3EA6BF5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Normalized non-cash adjustments.</t>
        </r>
      </text>
    </comment>
    <comment ref="G88" authorId="0" shapeId="0" xr:uid="{CEAD29C2-AB23-47B7-AAD2-01AF65C5DDB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Steady.</t>
        </r>
      </text>
    </comment>
    <comment ref="H88" authorId="0" shapeId="0" xr:uid="{BF247082-F9B6-43F0-A4EE-21888B76051A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Steady.</t>
        </r>
      </text>
    </comment>
    <comment ref="I88" authorId="0" shapeId="0" xr:uid="{5067299A-B2BB-436F-B008-FB7B86F15A7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Steady.</t>
        </r>
      </text>
    </comment>
    <comment ref="C89" authorId="0" shapeId="0" xr:uid="{CECE48DB-1902-4331-B0E4-5D81A107D98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Net change in operating assets/liabilities.</t>
        </r>
      </text>
    </comment>
    <comment ref="D89" authorId="0" shapeId="0" xr:uid="{F497A020-B99B-4C0C-9C64-CD5B59D56A2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Net change in operating assets/liabilities.</t>
        </r>
      </text>
    </comment>
    <comment ref="E89" authorId="0" shapeId="0" xr:uid="{AF5CAC9B-1CCC-4352-9E4A-54B1D15E5F42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Large positive swing from AP growth and EU tax accrual.</t>
        </r>
      </text>
    </comment>
    <comment ref="C94" authorId="0" shapeId="0" xr:uid="{28313E92-476A-48D3-9089-F6138CD2D96B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Purchases less sales/maturities of marketable securities.</t>
        </r>
      </text>
    </comment>
    <comment ref="D94" authorId="0" shapeId="0" xr:uid="{9D707677-491F-4647-BFB9-2D7287D88FD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Net proceeds from investment portfolio.</t>
        </r>
      </text>
    </comment>
    <comment ref="E94" authorId="0" shapeId="0" xr:uid="{5B7AD003-DA11-42AD-A826-A4BCD4CBAD49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Net proceeds from investment portfolio.</t>
        </r>
      </text>
    </comment>
    <comment ref="C95" authorId="0" shapeId="0" xr:uid="{D07DEE5B-6254-4119-8F47-FA98D510F91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95" authorId="0" shapeId="0" xr:uid="{E4AC5492-5E26-4BF2-B458-0117524CE61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95" authorId="0" shapeId="0" xr:uid="{E8D92D98-6518-4A54-BDB7-73D8D82AC2A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F95" authorId="0" shapeId="0" xr:uid="{A07FC481-30ED-47F0-9AAB-0C102FBA8AD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Roughly flat.</t>
        </r>
      </text>
    </comment>
    <comment ref="G95" authorId="0" shapeId="0" xr:uid="{F19EE9AD-DB35-4908-887A-EBD3819890BC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Roughly flat.</t>
        </r>
      </text>
    </comment>
    <comment ref="H95" authorId="0" shapeId="0" xr:uid="{42731F9D-1CE0-4943-B281-122996B08D9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Roughly flat.</t>
        </r>
      </text>
    </comment>
    <comment ref="I95" authorId="0" shapeId="0" xr:uid="{43C4D873-7E7D-4CDC-97A3-5C633E26F35F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Roughly flat.</t>
        </r>
      </text>
    </comment>
    <comment ref="C100" authorId="0" shapeId="0" xr:uid="{47EC47F9-B7E3-4C0E-A058-DDA28DC4D7F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100" authorId="0" shapeId="0" xr:uid="{8B091E7A-A526-429D-AD07-F5C1A6AF1CC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100" authorId="0" shapeId="0" xr:uid="{74B25B74-48E6-4A60-BBBA-01A91A4B6E5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C101" authorId="0" shapeId="0" xr:uid="{5369D9D1-3899-4CE8-9031-0FDEC8FC54F8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 Proceeds $5,465M less repayments $9,543M.</t>
        </r>
      </text>
    </comment>
    <comment ref="D101" authorId="0" shapeId="0" xr:uid="{C9485CD2-ECDB-45DB-97F2-3D3BD9BA61D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 Proceeds $5,228M less repayments $11,151M.</t>
        </r>
      </text>
    </comment>
    <comment ref="E101" authorId="0" shapeId="0" xr:uid="{56E117E4-C492-4E19-8833-FCD83A4223D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 Repayments only, no new issuance.</t>
        </r>
      </text>
    </comment>
    <comment ref="C102" authorId="0" shapeId="0" xr:uid="{A12C2783-8F26-4360-9198-6264091A10F5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FY2022.</t>
        </r>
      </text>
    </comment>
    <comment ref="D102" authorId="0" shapeId="0" xr:uid="{779DFBD5-DF15-4F99-B76C-5FF6BB69CE4D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FY2023.</t>
        </r>
      </text>
    </comment>
    <comment ref="E102" authorId="0" shapeId="0" xr:uid="{A888425B-449A-4669-B211-7FEBB4B04ED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FY2024.</t>
        </r>
      </text>
    </comment>
    <comment ref="F102" authorId="0" shapeId="0" xr:uid="{6891787A-1F13-4195-96C8-979B5A5F56B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Roughly flat commercial paper and other.</t>
        </r>
      </text>
    </comment>
    <comment ref="G102" authorId="0" shapeId="0" xr:uid="{DEC99F1C-820B-4930-802A-1BA0B793A6B6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Steady.</t>
        </r>
      </text>
    </comment>
    <comment ref="H102" authorId="0" shapeId="0" xr:uid="{738E6659-697E-47B3-A44A-FC0693116D1E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Steady.</t>
        </r>
      </text>
    </comment>
    <comment ref="I102" authorId="0" shapeId="0" xr:uid="{79AFB561-69B5-4BE8-9F36-3AE28BF4244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Assumption: Steady.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Matan Feldman</author>
  </authors>
  <commentList>
    <comment ref="C5" authorId="0" shapeId="0" xr:uid="{1A3C50E6-C1CA-4035-A2EF-D4170F199200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FY2021 ending balance.</t>
        </r>
      </text>
    </comment>
    <comment ref="C14" authorId="0" shapeId="0" xr:uid="{2A0A6C40-62F4-4FC8-A322-052064044283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FY2021 ending LTD.</t>
        </r>
      </text>
    </comment>
    <comment ref="C22" authorId="0" shapeId="0" xr:uid="{581A83AB-EC45-4AAF-A6A6-198C5B105977}">
      <text>
        <r>
          <rPr>
            <b/>
            <sz val="9"/>
            <color indexed="81"/>
            <rFont val="Tahoma"/>
            <charset val="1"/>
          </rPr>
          <t>Matan Feldman:</t>
        </r>
        <r>
          <rPr>
            <sz val="9"/>
            <color indexed="81"/>
            <rFont val="Tahoma"/>
            <charset val="1"/>
          </rPr>
          <t xml:space="preserve">
Source: Apple 10-K FY2021 ending equity.</t>
        </r>
      </text>
    </comment>
  </commentList>
</comments>
</file>

<file path=xl/sharedStrings.xml><?xml version="1.0" encoding="utf-8"?>
<sst xmlns="http://schemas.openxmlformats.org/spreadsheetml/2006/main" count="223" uniqueCount="201">
  <si>
    <t>Apple Inc. (AAPL) — Integrated Three-Statement Financial Model</t>
  </si>
  <si>
    <t>Fiscal Year Ended Last Saturday of September | All figures in $mm except per share data</t>
  </si>
  <si>
    <t>FY2022A</t>
  </si>
  <si>
    <t>FY2023A</t>
  </si>
  <si>
    <t>FY2024A</t>
  </si>
  <si>
    <t>FY2025E</t>
  </si>
  <si>
    <t>FY2026E</t>
  </si>
  <si>
    <t>FY2027E</t>
  </si>
  <si>
    <t>FY2028E</t>
  </si>
  <si>
    <t>KEY ASSUMPTIONS</t>
  </si>
  <si>
    <t>Revenue Assumptions</t>
  </si>
  <si>
    <t xml:space="preserve">  Revenue Growth (YoY)</t>
  </si>
  <si>
    <t>Margin Assumptions</t>
  </si>
  <si>
    <t xml:space="preserve">  Gross Margin</t>
  </si>
  <si>
    <t xml:space="preserve">  R&amp;D (% of Revenue)</t>
  </si>
  <si>
    <t xml:space="preserve">  SG&amp;A (% of Revenue)</t>
  </si>
  <si>
    <t>Other Assumptions</t>
  </si>
  <si>
    <t xml:space="preserve">  Effective Tax Rate</t>
  </si>
  <si>
    <t xml:space="preserve">  Depreciation &amp; Amortization</t>
  </si>
  <si>
    <t xml:space="preserve">  Capital Expenditures</t>
  </si>
  <si>
    <t xml:space="preserve">  Stock-Based Compensation</t>
  </si>
  <si>
    <t xml:space="preserve">  Net Interest &amp; Other Income</t>
  </si>
  <si>
    <t xml:space="preserve">  Dividends Per Share</t>
  </si>
  <si>
    <t xml:space="preserve">  Share Repurchases ($mm)</t>
  </si>
  <si>
    <t xml:space="preserve">  Diluted Shares Outstanding (mm)</t>
  </si>
  <si>
    <t>INCOME STATEMENT</t>
  </si>
  <si>
    <t>Revenue</t>
  </si>
  <si>
    <t xml:space="preserve">  % Growth</t>
  </si>
  <si>
    <t>Cost of Sales</t>
  </si>
  <si>
    <t>Gross Profit</t>
  </si>
  <si>
    <t xml:space="preserve">  % Margin</t>
  </si>
  <si>
    <t>Research &amp; Development</t>
  </si>
  <si>
    <t>Selling, General &amp; Administrative</t>
  </si>
  <si>
    <t>Total Operating Expenses</t>
  </si>
  <si>
    <t>Operating Income (EBIT)</t>
  </si>
  <si>
    <t>Other Income / (Expense), Net</t>
  </si>
  <si>
    <t>Income Before Income Taxes</t>
  </si>
  <si>
    <t>Income Tax Provision</t>
  </si>
  <si>
    <t xml:space="preserve">  % Effective Tax Rate</t>
  </si>
  <si>
    <t>Net Income</t>
  </si>
  <si>
    <t>Diluted EPS</t>
  </si>
  <si>
    <t>EBITDA</t>
  </si>
  <si>
    <t>BALANCE SHEET</t>
  </si>
  <si>
    <t>Assets</t>
  </si>
  <si>
    <t>Cash &amp; Cash Equivalents</t>
  </si>
  <si>
    <t>Short-Term Investments</t>
  </si>
  <si>
    <t>Accounts Receivable, Net</t>
  </si>
  <si>
    <t>Inventories</t>
  </si>
  <si>
    <t>Other Current Assets</t>
  </si>
  <si>
    <t>Total Current Assets</t>
  </si>
  <si>
    <t>Property, Plant &amp; Equipment, Net</t>
  </si>
  <si>
    <t>Long-Term Investments</t>
  </si>
  <si>
    <t>Other Non-Current Assets</t>
  </si>
  <si>
    <t>Total Assets</t>
  </si>
  <si>
    <t>Liabilities &amp; Stockholders' Equity</t>
  </si>
  <si>
    <t>Accounts Payable</t>
  </si>
  <si>
    <t>Deferred Revenue</t>
  </si>
  <si>
    <t>Other Current Liabilities</t>
  </si>
  <si>
    <t>Total Current Liabilities</t>
  </si>
  <si>
    <t>Long-Term Debt</t>
  </si>
  <si>
    <t>Other Non-Current Liabilities</t>
  </si>
  <si>
    <t>Total Liabilities</t>
  </si>
  <si>
    <t>Total Stockholders' Equity</t>
  </si>
  <si>
    <t>Total Liabilities &amp; Stockholders' Equity</t>
  </si>
  <si>
    <t xml:space="preserve">  Balance Check (Assets - L&amp;E)</t>
  </si>
  <si>
    <t>CASH FLOW STATEMENT</t>
  </si>
  <si>
    <t>Cash from Operating Activities</t>
  </si>
  <si>
    <t>Depreciation &amp; Amortization</t>
  </si>
  <si>
    <t>Stock-Based Compensation</t>
  </si>
  <si>
    <t>Other Non-Cash Adjustments</t>
  </si>
  <si>
    <t>Changes in Working Capital</t>
  </si>
  <si>
    <t>Cash from Operations</t>
  </si>
  <si>
    <t>Cash from Investing Activities</t>
  </si>
  <si>
    <t>Capital Expenditures</t>
  </si>
  <si>
    <t>Net Investment Activity</t>
  </si>
  <si>
    <t>Other Investing Activities</t>
  </si>
  <si>
    <t>Cash from Investing</t>
  </si>
  <si>
    <t>Cash from Financing Activities</t>
  </si>
  <si>
    <t>Share Repurchases</t>
  </si>
  <si>
    <t>Dividends Paid</t>
  </si>
  <si>
    <t>Net Debt Issuance / (Repayment)</t>
  </si>
  <si>
    <t>Other Financing Activities</t>
  </si>
  <si>
    <t>Cash from Financing</t>
  </si>
  <si>
    <t>Net Change in Cash</t>
  </si>
  <si>
    <t>Free Cash Flow (CFO - CapEx)</t>
  </si>
  <si>
    <t xml:space="preserve">  % FCF Margin</t>
  </si>
  <si>
    <t>Apple Inc. (AAPL) — Supporting Schedules</t>
  </si>
  <si>
    <t>SCHEDULE 1: PP&amp;E ROLL-FORWARD</t>
  </si>
  <si>
    <t>Beginning PP&amp;E, Net</t>
  </si>
  <si>
    <t>(+) Capital Expenditures</t>
  </si>
  <si>
    <t>(-) Depreciation &amp; Amortization</t>
  </si>
  <si>
    <t>(+/-) Other / Disposals</t>
  </si>
  <si>
    <t>Ending PP&amp;E, Net</t>
  </si>
  <si>
    <t xml:space="preserve">  Check vs. Model (should be 0)</t>
  </si>
  <si>
    <t xml:space="preserve">  CapEx as % of Revenue</t>
  </si>
  <si>
    <t>SCHEDULE 2: DEBT SCHEDULE</t>
  </si>
  <si>
    <t>Beginning Long-Term Debt</t>
  </si>
  <si>
    <t>Net Issuance / (Repayment)</t>
  </si>
  <si>
    <t>Ending Long-Term Debt</t>
  </si>
  <si>
    <t>Net Debt (LTD - Cash - STI)</t>
  </si>
  <si>
    <t xml:space="preserve">  Net Debt / EBITDA</t>
  </si>
  <si>
    <t>SCHEDULE 3: STOCKHOLDERS' EQUITY ROLL-FORWARD</t>
  </si>
  <si>
    <t>Beginning Stockholders' Equity</t>
  </si>
  <si>
    <t>(+) Net Income</t>
  </si>
  <si>
    <t>(-) Dividends Paid</t>
  </si>
  <si>
    <t>(-) Share Repurchases</t>
  </si>
  <si>
    <t>(+) Stock-Based Compensation</t>
  </si>
  <si>
    <t>(+/-) Other Comprehensive Income &amp; Other</t>
  </si>
  <si>
    <t>Ending Stockholders' Equity</t>
  </si>
  <si>
    <t>Apple Inc. (AAPL) — Source Documentation</t>
  </si>
  <si>
    <t>All sources used in the construction of this financial model</t>
  </si>
  <si>
    <t>PRIMARY SOURCES — HISTORICAL FINANCIAL DATA</t>
  </si>
  <si>
    <t>Source</t>
  </si>
  <si>
    <t>Description</t>
  </si>
  <si>
    <t>Data Used For</t>
  </si>
  <si>
    <t>URL / Link</t>
  </si>
  <si>
    <t>Apple Inc. Form 10-K (FY2024)</t>
  </si>
  <si>
    <t>Annual report for fiscal year ended September 28, 2024. Filed November 1, 2024.</t>
  </si>
  <si>
    <t>FY2024 Income Statement, Balance Sheet, Cash Flow Statement, all footnotes</t>
  </si>
  <si>
    <t>https://www.sec.gov/cgi-bin/browse-edgar?action=getcompany&amp;CIK=0000320193&amp;type=10-K&amp;dateb=&amp;owner=include&amp;count=10</t>
  </si>
  <si>
    <t>Apple Inc. Form 10-K (FY2023)</t>
  </si>
  <si>
    <t>Annual report for fiscal year ended September 30, 2023. Filed November 3, 2023.</t>
  </si>
  <si>
    <t>FY2022-FY2023 Income Statement, Balance Sheet, Cash Flow Statement</t>
  </si>
  <si>
    <t>Apple Investor Relations — SEC Filings</t>
  </si>
  <si>
    <t>Apple's official investor relations page with SEC filings, earnings releases, and presentations.</t>
  </si>
  <si>
    <t>Cross-reference for all historical financial data</t>
  </si>
  <si>
    <t>https://investor.apple.com/sec-filings/default.aspx</t>
  </si>
  <si>
    <t>Apple Q4 FY2024 Earnings Press Release</t>
  </si>
  <si>
    <t>Press release dated October 31, 2024 reporting Q4 and full-year FY2024 results.</t>
  </si>
  <si>
    <t>FY2024 summary financials, segment data, guidance commentary</t>
  </si>
  <si>
    <t>https://investor.apple.com/investor-relations/default.aspx</t>
  </si>
  <si>
    <t>SEC EDGAR — Apple Inc. (CIK 0000320193)</t>
  </si>
  <si>
    <t>SEC's Electronic Data Gathering, Analysis, and Retrieval system. Apple's filing history.</t>
  </si>
  <si>
    <t>All SEC filings verification and cross-reference</t>
  </si>
  <si>
    <t>https://www.sec.gov/cgi-bin/browse-edgar?action=getcompany&amp;CIK=0000320193&amp;type=&amp;dateb=&amp;owner=include&amp;count=40</t>
  </si>
  <si>
    <t>Apple Inc. Annual Report to Shareholders (FY2024)</t>
  </si>
  <si>
    <t>Published annual report with financial highlights and management discussion.</t>
  </si>
  <si>
    <t>Management commentary, strategic priorities, capital allocation framework</t>
  </si>
  <si>
    <t>https://investor.apple.com/annual-reports/default.aspx</t>
  </si>
  <si>
    <t>FORECAST SOURCES — CONSENSUS ESTIMATES &amp; ASSUMPTIONS</t>
  </si>
  <si>
    <t>Wall Street Consensus Estimates (Bloomberg)</t>
  </si>
  <si>
    <t>Aggregated analyst consensus estimates from Bloomberg Terminal as of early 2025.</t>
  </si>
  <si>
    <t>Revenue growth, gross margin, EPS forecasts for FY2025E-FY2028E</t>
  </si>
  <si>
    <t>Bloomberg Terminal (subscription required)</t>
  </si>
  <si>
    <t>Wall Street Consensus Estimates (FactSet)</t>
  </si>
  <si>
    <t>FactSet consensus data aggregating sell-side analyst estimates.</t>
  </si>
  <si>
    <t>Cross-reference for revenue, margin, and EPS consensus</t>
  </si>
  <si>
    <t>https://www.factset.com/ (subscription required)</t>
  </si>
  <si>
    <t>Apple Inc. Management Guidance</t>
  </si>
  <si>
    <t>Forward-looking guidance from Q4 FY2024 earnings call (October 31, 2024).</t>
  </si>
  <si>
    <t>Near-term revenue guidance, gross margin range, OpEx guidance for Q1 FY2025</t>
  </si>
  <si>
    <t>Analyst Reports — Major Sell-Side Banks</t>
  </si>
  <si>
    <t>Published equity research from Goldman Sachs, Morgan Stanley, JP Morgan, etc.</t>
  </si>
  <si>
    <t>Longer-term growth assumptions, margin trajectory, capital return expectations</t>
  </si>
  <si>
    <t>Available via institutional research platforms</t>
  </si>
  <si>
    <t>Apple Capital Return Program</t>
  </si>
  <si>
    <t>Board-authorized $110 billion share repurchase program (May 2024) and dividend policy.</t>
  </si>
  <si>
    <t>Share repurchase assumptions ($90B/year), dividend growth rate (~4% annual)</t>
  </si>
  <si>
    <t>KEY MODELING ASSUMPTIONS &amp; METHODOLOGY</t>
  </si>
  <si>
    <t>Assumption</t>
  </si>
  <si>
    <t>Methodology &amp; Rationale</t>
  </si>
  <si>
    <t>Model Reference</t>
  </si>
  <si>
    <t>Basis</t>
  </si>
  <si>
    <t>Revenue Forecast</t>
  </si>
  <si>
    <t>Revenue projected using YoY growth rates derived from consensus estimates. FY2025E: 4.5%, FY2026E: 7.5%, FY2027E: 6.5%, FY2028E: 6.0%. Growth driven by iPhone cycle, Services expansion, and Apple Intelligence AI features.</t>
  </si>
  <si>
    <t>Model!F7:I7</t>
  </si>
  <si>
    <t>Consensus + management guidance</t>
  </si>
  <si>
    <t>Gross Margin</t>
  </si>
  <si>
    <t>Gross margin expands from 46.2% (FY2024) to 47.5% (FY2028E) reflecting mix shift toward higher-margin Services and operating leverage on products.</t>
  </si>
  <si>
    <t>Model!F10:I10</t>
  </si>
  <si>
    <t>Consensus + historical trend</t>
  </si>
  <si>
    <t>Operating Expenses</t>
  </si>
  <si>
    <t>R&amp;D maintained at ~8.2-8.3% of revenue (AI/ML investment). SG&amp;A declines from 6.7% to 6.2% reflecting operating leverage.</t>
  </si>
  <si>
    <t>Model!F11:I12</t>
  </si>
  <si>
    <t>Consensus + analyst estimates</t>
  </si>
  <si>
    <t>Tax Rate</t>
  </si>
  <si>
    <t>FY2024 ETR of 24.1% included ~$10B one-time EU tax ruling charge. Normalized to 15.5-16.0% for forecast period.</t>
  </si>
  <si>
    <t>Model!F15:I15</t>
  </si>
  <si>
    <t>10-K disclosure + analyst adjustment</t>
  </si>
  <si>
    <t>CapEx increases from ~$10B to ~$14B reflecting infrastructure buildout for AI/ML workloads and data center expansion.</t>
  </si>
  <si>
    <t>Model!F17:I17</t>
  </si>
  <si>
    <t>Management commentary + consensus</t>
  </si>
  <si>
    <t>Assumes ~$90B annual buyback pace, broadly consistent with $110B authorization (May 2024) and historical run rate.</t>
  </si>
  <si>
    <t>Model!F21:I21</t>
  </si>
  <si>
    <t>Board authorization + historical trend</t>
  </si>
  <si>
    <t>Working Capital</t>
  </si>
  <si>
    <t>Operating working capital items (AR, Inventory, AP) projected as % of revenue or COGS, maintaining FY2024 ratios.</t>
  </si>
  <si>
    <t>Model rows 57-70</t>
  </si>
  <si>
    <t>Historical ratio analysis</t>
  </si>
  <si>
    <t>Balance Sheet Plug</t>
  </si>
  <si>
    <t>Stockholders' Equity is computed as Total Assets minus Total Liabilities (plug variable). This ensures the BS balances by construction.</t>
  </si>
  <si>
    <t>Model!F77:I77</t>
  </si>
  <si>
    <t>Standard IB modeling convention</t>
  </si>
  <si>
    <t>not driven off interest expense</t>
  </si>
  <si>
    <t>added EBITDA, nice touch</t>
  </si>
  <si>
    <t>Score is 6</t>
  </si>
  <si>
    <t>explained the assumption unlike shortcut, not connected to repurchases or issuances</t>
  </si>
  <si>
    <t>could have gone with cogs growth</t>
  </si>
  <si>
    <t>no connection to cash flows, revolver calcs</t>
  </si>
  <si>
    <t>not connected to schedules, equity serves as plug, no explicit forecast</t>
  </si>
  <si>
    <t>score is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</si>
</sst>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\(#,##0\);\(#,##0\);&quot;-&quot;"/>
    <numFmt numFmtId="166" formatCode="&quot;$&quot;0.00"/>
    <numFmt numFmtId="167" formatCode="#,##0;\(#,##0\);&quot;-&quot;"/>
    <numFmt numFmtId="169" formatCode="0.0\x"/>
  </numFmts>
  <fonts count="18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</font>
    <font>
      <i/>
      <sz val="9"/>
      <color rgb="FF808080"/>
      <name val="Arial"/>
    </font>
    <font>
      <b/>
      <sz val="10"/>
      <color rgb="FFFFFFFF"/>
      <name val="Arial"/>
    </font>
    <font>
      <b/>
      <sz val="11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FF"/>
      <name val="Arial"/>
    </font>
    <font>
      <i/>
      <sz val="10"/>
      <color rgb="FF808080"/>
      <name val="Arial"/>
    </font>
    <font>
      <sz val="9"/>
      <color rgb="FFFF0000"/>
      <name val="Arial"/>
      <family val="2"/>
    </font>
    <font>
      <sz val="9"/>
      <color rgb="FFFF0000"/>
      <name val="Arial"/>
    </font>
    <font>
      <i/>
      <sz val="9"/>
      <color rgb="FFFF0000"/>
      <name val="Arial"/>
    </font>
    <font>
      <u/>
      <sz val="10"/>
      <color rgb="FF0563C1"/>
      <name val="Arial"/>
    </font>
    <font>
      <b/>
      <u/>
      <sz val="10"/>
      <color rgb="FF000000"/>
      <name val="Arial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 style="thin">
        <color rgb="FF000000"/>
      </top>
      <bottom/>
      <diagonal/>
    </border>
    <border>
      <left/>
      <right style="medium">
        <color rgb="FF002060"/>
      </right>
      <top style="double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3" borderId="0" xfId="0" applyFont="1" applyFill="1"/>
    <xf numFmtId="0" fontId="0" fillId="3" borderId="0" xfId="0" applyFill="1"/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0" fillId="4" borderId="0" xfId="0" applyFill="1"/>
    <xf numFmtId="164" fontId="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5" fillId="2" borderId="0" xfId="0" applyFont="1" applyFill="1"/>
    <xf numFmtId="167" fontId="6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167" fontId="7" fillId="0" borderId="1" xfId="0" applyNumberFormat="1" applyFont="1" applyFill="1" applyBorder="1" applyAlignment="1">
      <alignment horizontal="center"/>
    </xf>
    <xf numFmtId="0" fontId="14" fillId="0" borderId="0" xfId="0" applyFont="1"/>
    <xf numFmtId="167" fontId="13" fillId="0" borderId="0" xfId="0" applyNumberFormat="1" applyFont="1" applyAlignment="1">
      <alignment horizontal="center"/>
    </xf>
    <xf numFmtId="167" fontId="7" fillId="0" borderId="2" xfId="0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0" fontId="15" fillId="0" borderId="0" xfId="0" applyFont="1"/>
    <xf numFmtId="0" fontId="16" fillId="4" borderId="0" xfId="0" applyFont="1" applyFill="1"/>
    <xf numFmtId="0" fontId="4" fillId="2" borderId="3" xfId="0" applyFont="1" applyFill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/>
    <xf numFmtId="164" fontId="6" fillId="0" borderId="3" xfId="0" applyNumberFormat="1" applyFont="1" applyBorder="1" applyAlignment="1">
      <alignment horizontal="center"/>
    </xf>
    <xf numFmtId="0" fontId="0" fillId="0" borderId="3" xfId="0" applyBorder="1"/>
    <xf numFmtId="3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6" fontId="6" fillId="0" borderId="3" xfId="0" applyNumberFormat="1" applyFont="1" applyBorder="1" applyAlignment="1">
      <alignment horizontal="center"/>
    </xf>
    <xf numFmtId="0" fontId="0" fillId="2" borderId="3" xfId="0" applyFill="1" applyBorder="1"/>
    <xf numFmtId="167" fontId="6" fillId="0" borderId="3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7" fontId="7" fillId="0" borderId="4" xfId="0" applyNumberFormat="1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167" fontId="13" fillId="0" borderId="3" xfId="0" applyNumberFormat="1" applyFont="1" applyBorder="1" applyAlignment="1">
      <alignment horizontal="center"/>
    </xf>
    <xf numFmtId="0" fontId="17" fillId="0" borderId="0" xfId="0" applyFont="1"/>
    <xf numFmtId="167" fontId="1" fillId="0" borderId="3" xfId="0" applyNumberFormat="1" applyFont="1" applyBorder="1" applyAlignment="1">
      <alignment horizontal="center"/>
    </xf>
    <xf numFmtId="167" fontId="6" fillId="5" borderId="3" xfId="0" applyNumberFormat="1" applyFont="1" applyFill="1" applyBorder="1" applyAlignment="1">
      <alignment horizontal="center"/>
    </xf>
    <xf numFmtId="166" fontId="6" fillId="5" borderId="0" xfId="0" applyNumberFormat="1" applyFont="1" applyFill="1" applyAlignment="1">
      <alignment horizontal="center"/>
    </xf>
    <xf numFmtId="166" fontId="6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  <wetp:taskpane dockstate="right" visibility="0" width="435" row="3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14CA9038-E78E-40C4-B2EF-F79A59C0C18C}">
  <we:reference id="wa200005271" version="2.6.1.0" store="en-US" storeType="OMEX"/>
  <we:alternateReferences>
    <we:reference id="wa200005271" version="2.6.1.0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4D3AF256-3B71-49BD-91A9-52210ED707F4}">
  <we:reference id="wa200009404" version="1.0.0.5" store="en-US" storeType="OMEX"/>
  <we:alternateReferences>
    <we:reference id="wa200009404" version="1.0.0.5" store="en-US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5C92-0726-4C2F-9243-9DCCE704ACCF}">
  <dimension ref="A1:K11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4" sqref="D14"/>
    </sheetView>
  </sheetViews>
  <sheetFormatPr defaultRowHeight="12.75" x14ac:dyDescent="0.2"/>
  <cols>
    <col min="1" max="1" width="47.5703125" customWidth="1"/>
    <col min="2" max="2" width="1.85546875" customWidth="1"/>
    <col min="3" max="9" width="19" customWidth="1"/>
  </cols>
  <sheetData>
    <row r="1" spans="1:9" ht="18" x14ac:dyDescent="0.25">
      <c r="A1" s="51" t="s">
        <v>0</v>
      </c>
    </row>
    <row r="2" spans="1:9" x14ac:dyDescent="0.2">
      <c r="A2" s="2" t="s">
        <v>1</v>
      </c>
    </row>
    <row r="4" spans="1:9" x14ac:dyDescent="0.2">
      <c r="A4" s="3"/>
      <c r="B4" s="3"/>
      <c r="C4" s="4" t="s">
        <v>2</v>
      </c>
      <c r="D4" s="4" t="s">
        <v>3</v>
      </c>
      <c r="E4" s="35" t="s">
        <v>4</v>
      </c>
      <c r="F4" s="4" t="s">
        <v>5</v>
      </c>
      <c r="G4" s="4" t="s">
        <v>6</v>
      </c>
      <c r="H4" s="4" t="s">
        <v>7</v>
      </c>
      <c r="I4" s="4" t="s">
        <v>8</v>
      </c>
    </row>
    <row r="5" spans="1:9" ht="15" x14ac:dyDescent="0.25">
      <c r="A5" s="5" t="s">
        <v>9</v>
      </c>
      <c r="B5" s="6"/>
      <c r="C5" s="6"/>
      <c r="D5" s="6"/>
      <c r="E5" s="36"/>
      <c r="F5" s="6"/>
      <c r="G5" s="6"/>
      <c r="H5" s="6"/>
      <c r="I5" s="6"/>
    </row>
    <row r="6" spans="1:9" x14ac:dyDescent="0.2">
      <c r="A6" s="9" t="s">
        <v>10</v>
      </c>
      <c r="B6" s="10"/>
      <c r="C6" s="10"/>
      <c r="D6" s="10"/>
      <c r="E6" s="37"/>
      <c r="F6" s="10"/>
      <c r="G6" s="10"/>
      <c r="H6" s="10"/>
      <c r="I6" s="10"/>
    </row>
    <row r="7" spans="1:9" x14ac:dyDescent="0.2">
      <c r="A7" s="7" t="s">
        <v>11</v>
      </c>
      <c r="C7" s="11">
        <v>7.8E-2</v>
      </c>
      <c r="D7" s="11">
        <v>-2.8000000000000001E-2</v>
      </c>
      <c r="E7" s="38">
        <v>0.02</v>
      </c>
      <c r="F7" s="12">
        <v>4.4999999999999998E-2</v>
      </c>
      <c r="G7" s="12">
        <v>7.4999999999999997E-2</v>
      </c>
      <c r="H7" s="12">
        <v>6.5000000000000002E-2</v>
      </c>
      <c r="I7" s="12">
        <v>0.06</v>
      </c>
    </row>
    <row r="8" spans="1:9" x14ac:dyDescent="0.2">
      <c r="E8" s="39"/>
    </row>
    <row r="9" spans="1:9" x14ac:dyDescent="0.2">
      <c r="A9" s="9" t="s">
        <v>12</v>
      </c>
      <c r="B9" s="10"/>
      <c r="C9" s="10"/>
      <c r="D9" s="10"/>
      <c r="E9" s="37"/>
      <c r="F9" s="10"/>
      <c r="G9" s="10"/>
      <c r="H9" s="10"/>
      <c r="I9" s="10"/>
    </row>
    <row r="10" spans="1:9" x14ac:dyDescent="0.2">
      <c r="A10" s="7" t="s">
        <v>13</v>
      </c>
      <c r="C10" s="11">
        <v>0.433</v>
      </c>
      <c r="D10" s="11">
        <v>0.441</v>
      </c>
      <c r="E10" s="38">
        <v>0.46200000000000002</v>
      </c>
      <c r="F10" s="12">
        <v>0.46500000000000002</v>
      </c>
      <c r="G10" s="12">
        <v>0.47</v>
      </c>
      <c r="H10" s="12">
        <v>0.47199999999999998</v>
      </c>
      <c r="I10" s="12">
        <v>0.47499999999999998</v>
      </c>
    </row>
    <row r="11" spans="1:9" x14ac:dyDescent="0.2">
      <c r="A11" s="7" t="s">
        <v>14</v>
      </c>
      <c r="C11" s="11">
        <v>6.7000000000000004E-2</v>
      </c>
      <c r="D11" s="11">
        <v>7.8E-2</v>
      </c>
      <c r="E11" s="38">
        <v>0.08</v>
      </c>
      <c r="F11" s="12">
        <v>8.2000000000000003E-2</v>
      </c>
      <c r="G11" s="12">
        <v>8.3000000000000004E-2</v>
      </c>
      <c r="H11" s="12">
        <v>8.3000000000000004E-2</v>
      </c>
      <c r="I11" s="12">
        <v>8.2000000000000003E-2</v>
      </c>
    </row>
    <row r="12" spans="1:9" x14ac:dyDescent="0.2">
      <c r="A12" s="7" t="s">
        <v>15</v>
      </c>
      <c r="C12" s="11">
        <v>6.4000000000000001E-2</v>
      </c>
      <c r="D12" s="11">
        <v>6.5000000000000002E-2</v>
      </c>
      <c r="E12" s="38">
        <v>6.7000000000000004E-2</v>
      </c>
      <c r="F12" s="12">
        <v>6.5000000000000002E-2</v>
      </c>
      <c r="G12" s="12">
        <v>6.4000000000000001E-2</v>
      </c>
      <c r="H12" s="12">
        <v>6.3E-2</v>
      </c>
      <c r="I12" s="12">
        <v>6.2E-2</v>
      </c>
    </row>
    <row r="13" spans="1:9" x14ac:dyDescent="0.2">
      <c r="E13" s="39"/>
    </row>
    <row r="14" spans="1:9" x14ac:dyDescent="0.2">
      <c r="A14" s="9" t="s">
        <v>16</v>
      </c>
      <c r="B14" s="10"/>
      <c r="C14" s="10"/>
      <c r="D14" s="10"/>
      <c r="E14" s="37"/>
      <c r="F14" s="10"/>
      <c r="G14" s="10"/>
      <c r="H14" s="10"/>
      <c r="I14" s="10"/>
    </row>
    <row r="15" spans="1:9" x14ac:dyDescent="0.2">
      <c r="A15" s="7" t="s">
        <v>17</v>
      </c>
      <c r="C15" s="11">
        <v>0.16200000000000001</v>
      </c>
      <c r="D15" s="11">
        <v>0.14699999999999999</v>
      </c>
      <c r="E15" s="38">
        <v>0.24099999999999999</v>
      </c>
      <c r="F15" s="12">
        <v>0.16</v>
      </c>
      <c r="G15" s="12">
        <v>0.158</v>
      </c>
      <c r="H15" s="12">
        <v>0.155</v>
      </c>
      <c r="I15" s="12">
        <v>0.155</v>
      </c>
    </row>
    <row r="16" spans="1:9" x14ac:dyDescent="0.2">
      <c r="A16" s="7" t="s">
        <v>18</v>
      </c>
      <c r="C16" s="13">
        <v>11104</v>
      </c>
      <c r="D16" s="13">
        <v>11519</v>
      </c>
      <c r="E16" s="40">
        <v>11445</v>
      </c>
      <c r="F16" s="14">
        <v>11800</v>
      </c>
      <c r="G16" s="14">
        <v>12200</v>
      </c>
      <c r="H16" s="14">
        <v>12600</v>
      </c>
      <c r="I16" s="14">
        <v>13000</v>
      </c>
    </row>
    <row r="17" spans="1:11" x14ac:dyDescent="0.2">
      <c r="A17" s="7" t="s">
        <v>19</v>
      </c>
      <c r="C17" s="15">
        <v>-10708</v>
      </c>
      <c r="D17" s="15">
        <v>-10959</v>
      </c>
      <c r="E17" s="41">
        <v>-9959</v>
      </c>
      <c r="F17" s="16">
        <v>-11000</v>
      </c>
      <c r="G17" s="16">
        <v>-12500</v>
      </c>
      <c r="H17" s="16">
        <v>-13500</v>
      </c>
      <c r="I17" s="16">
        <v>-14000</v>
      </c>
    </row>
    <row r="18" spans="1:11" x14ac:dyDescent="0.2">
      <c r="A18" s="7" t="s">
        <v>20</v>
      </c>
      <c r="C18" s="13">
        <v>9038</v>
      </c>
      <c r="D18" s="13">
        <v>10833</v>
      </c>
      <c r="E18" s="40">
        <v>11688</v>
      </c>
      <c r="F18" s="14">
        <v>12500</v>
      </c>
      <c r="G18" s="14">
        <v>13500</v>
      </c>
      <c r="H18" s="14">
        <v>14500</v>
      </c>
      <c r="I18" s="14">
        <v>15500</v>
      </c>
    </row>
    <row r="19" spans="1:11" x14ac:dyDescent="0.2">
      <c r="A19" s="7" t="s">
        <v>21</v>
      </c>
      <c r="C19" s="13">
        <v>-334</v>
      </c>
      <c r="D19" s="13">
        <v>-565</v>
      </c>
      <c r="E19" s="52">
        <v>250</v>
      </c>
      <c r="F19" s="14">
        <v>500</v>
      </c>
      <c r="G19" s="14">
        <v>400</v>
      </c>
      <c r="H19" s="14">
        <v>300</v>
      </c>
      <c r="I19" s="14">
        <v>250</v>
      </c>
    </row>
    <row r="20" spans="1:11" x14ac:dyDescent="0.2">
      <c r="A20" s="7" t="s">
        <v>22</v>
      </c>
      <c r="C20" s="17">
        <v>0.92</v>
      </c>
      <c r="D20" s="17">
        <v>0.96</v>
      </c>
      <c r="E20" s="42">
        <v>1</v>
      </c>
      <c r="F20" s="18">
        <v>1.04</v>
      </c>
      <c r="G20" s="18">
        <v>1.08</v>
      </c>
      <c r="H20" s="18">
        <v>1.1200000000000001</v>
      </c>
      <c r="I20" s="18">
        <v>1.1599999999999999</v>
      </c>
    </row>
    <row r="21" spans="1:11" x14ac:dyDescent="0.2">
      <c r="A21" s="7" t="s">
        <v>23</v>
      </c>
      <c r="C21" s="15">
        <v>-89402</v>
      </c>
      <c r="D21" s="15">
        <v>-77550</v>
      </c>
      <c r="E21" s="41">
        <v>-94949</v>
      </c>
      <c r="F21" s="16">
        <v>-90000</v>
      </c>
      <c r="G21" s="16">
        <v>-90000</v>
      </c>
      <c r="H21" s="16">
        <v>-90000</v>
      </c>
      <c r="I21" s="16">
        <v>-90000</v>
      </c>
    </row>
    <row r="22" spans="1:11" x14ac:dyDescent="0.2">
      <c r="A22" s="7" t="s">
        <v>24</v>
      </c>
      <c r="C22" s="13">
        <v>16326</v>
      </c>
      <c r="D22" s="13">
        <v>15813</v>
      </c>
      <c r="E22" s="40">
        <v>15408</v>
      </c>
      <c r="F22" s="14">
        <v>15050</v>
      </c>
      <c r="G22" s="14">
        <v>14700</v>
      </c>
      <c r="H22" s="14">
        <v>14360</v>
      </c>
      <c r="I22" s="14">
        <v>14030</v>
      </c>
      <c r="K22" t="s">
        <v>196</v>
      </c>
    </row>
    <row r="23" spans="1:11" x14ac:dyDescent="0.2">
      <c r="E23" s="39"/>
    </row>
    <row r="24" spans="1:11" ht="15" x14ac:dyDescent="0.25">
      <c r="A24" s="19" t="s">
        <v>25</v>
      </c>
      <c r="B24" s="3"/>
      <c r="C24" s="3"/>
      <c r="D24" s="3"/>
      <c r="E24" s="43"/>
      <c r="F24" s="3"/>
      <c r="G24" s="3"/>
      <c r="H24" s="3"/>
      <c r="I24" s="3"/>
    </row>
    <row r="25" spans="1:11" x14ac:dyDescent="0.2">
      <c r="A25" s="8" t="s">
        <v>26</v>
      </c>
      <c r="C25" s="20">
        <v>394328</v>
      </c>
      <c r="D25" s="20">
        <v>383285</v>
      </c>
      <c r="E25" s="44">
        <v>391035</v>
      </c>
      <c r="F25" s="20">
        <f>E25*(1+F7)</f>
        <v>408631.57499999995</v>
      </c>
      <c r="G25" s="20">
        <f>F25*(1+G7)</f>
        <v>439278.94312499993</v>
      </c>
      <c r="H25" s="20">
        <f>G25*(1+H7)</f>
        <v>467832.07442812488</v>
      </c>
      <c r="I25" s="20">
        <f>H25*(1+I7)</f>
        <v>495901.99889381242</v>
      </c>
    </row>
    <row r="26" spans="1:11" x14ac:dyDescent="0.2">
      <c r="A26" s="2" t="s">
        <v>27</v>
      </c>
      <c r="C26" s="21">
        <v>7.8E-2</v>
      </c>
      <c r="D26" s="21">
        <f>D25/C25-1</f>
        <v>-2.800460530319937E-2</v>
      </c>
      <c r="E26" s="45">
        <f>E25/D25-1</f>
        <v>2.021994077514111E-2</v>
      </c>
      <c r="F26" s="21">
        <f>F25/E25-1</f>
        <v>4.4999999999999929E-2</v>
      </c>
      <c r="G26" s="21">
        <f>G25/F25-1</f>
        <v>7.4999999999999956E-2</v>
      </c>
      <c r="H26" s="21">
        <f>H25/G25-1</f>
        <v>6.4999999999999947E-2</v>
      </c>
      <c r="I26" s="21">
        <f>I25/H25-1</f>
        <v>6.0000000000000053E-2</v>
      </c>
    </row>
    <row r="27" spans="1:11" x14ac:dyDescent="0.2">
      <c r="A27" s="7" t="s">
        <v>28</v>
      </c>
      <c r="C27" s="20">
        <v>-223546</v>
      </c>
      <c r="D27" s="20">
        <v>-214137</v>
      </c>
      <c r="E27" s="44">
        <v>-210352</v>
      </c>
      <c r="F27" s="20">
        <f>-F25*(1-F10)</f>
        <v>-218617.89262499995</v>
      </c>
      <c r="G27" s="20">
        <f>-G25*(1-G10)</f>
        <v>-232817.83985624998</v>
      </c>
      <c r="H27" s="20">
        <f>-H25*(1-H10)</f>
        <v>-247015.33529804993</v>
      </c>
      <c r="I27" s="20">
        <f>-I25*(1-I10)</f>
        <v>-260348.54941925153</v>
      </c>
    </row>
    <row r="28" spans="1:11" x14ac:dyDescent="0.2">
      <c r="A28" s="8" t="s">
        <v>29</v>
      </c>
      <c r="C28" s="23">
        <f>C25+C27</f>
        <v>170782</v>
      </c>
      <c r="D28" s="23">
        <f>D25+D27</f>
        <v>169148</v>
      </c>
      <c r="E28" s="46">
        <f>E25+E27</f>
        <v>180683</v>
      </c>
      <c r="F28" s="23">
        <f>F25+F27</f>
        <v>190013.682375</v>
      </c>
      <c r="G28" s="23">
        <f>G25+G27</f>
        <v>206461.10326874995</v>
      </c>
      <c r="H28" s="23">
        <f>H25+H27</f>
        <v>220816.73913007494</v>
      </c>
      <c r="I28" s="23">
        <f>I25+I27</f>
        <v>235553.44947456088</v>
      </c>
    </row>
    <row r="29" spans="1:11" x14ac:dyDescent="0.2">
      <c r="A29" s="2" t="s">
        <v>30</v>
      </c>
      <c r="C29" s="21">
        <f>C28/C25</f>
        <v>0.43309630561360085</v>
      </c>
      <c r="D29" s="21">
        <f>D28/D25</f>
        <v>0.44131129577207562</v>
      </c>
      <c r="E29" s="45">
        <f>E28/E25</f>
        <v>0.46206349815233932</v>
      </c>
      <c r="F29" s="21">
        <f>F28/F25</f>
        <v>0.46500000000000008</v>
      </c>
      <c r="G29" s="21">
        <f>G28/G25</f>
        <v>0.47</v>
      </c>
      <c r="H29" s="21">
        <f>H28/H25</f>
        <v>0.47200000000000003</v>
      </c>
      <c r="I29" s="21">
        <f>I28/I25</f>
        <v>0.47499999999999998</v>
      </c>
    </row>
    <row r="30" spans="1:11" x14ac:dyDescent="0.2">
      <c r="E30" s="39"/>
    </row>
    <row r="31" spans="1:11" x14ac:dyDescent="0.2">
      <c r="A31" s="7" t="s">
        <v>31</v>
      </c>
      <c r="C31" s="20">
        <v>-26251</v>
      </c>
      <c r="D31" s="20">
        <v>-29915</v>
      </c>
      <c r="E31" s="44">
        <v>-31370</v>
      </c>
      <c r="F31" s="20">
        <f>-F25*F11</f>
        <v>-33507.789149999997</v>
      </c>
      <c r="G31" s="20">
        <f>-G25*G11</f>
        <v>-36460.152279374997</v>
      </c>
      <c r="H31" s="20">
        <f>-H25*H11</f>
        <v>-38830.062177534368</v>
      </c>
      <c r="I31" s="20">
        <f>-I25*I11</f>
        <v>-40663.963909292623</v>
      </c>
    </row>
    <row r="32" spans="1:11" x14ac:dyDescent="0.2">
      <c r="A32" s="7" t="s">
        <v>32</v>
      </c>
      <c r="C32" s="20">
        <v>-25094</v>
      </c>
      <c r="D32" s="20">
        <v>-24932</v>
      </c>
      <c r="E32" s="53">
        <v>-26146</v>
      </c>
      <c r="F32" s="20">
        <f>-F25*F12</f>
        <v>-26561.052374999999</v>
      </c>
      <c r="G32" s="20">
        <f>-G25*G12</f>
        <v>-28113.852359999997</v>
      </c>
      <c r="H32" s="20">
        <f>-H25*H12</f>
        <v>-29473.420688971866</v>
      </c>
      <c r="I32" s="20">
        <f>-I25*I12</f>
        <v>-30745.923931416368</v>
      </c>
    </row>
    <row r="33" spans="1:11" x14ac:dyDescent="0.2">
      <c r="A33" s="8" t="s">
        <v>33</v>
      </c>
      <c r="C33" s="23">
        <f>C31+C32</f>
        <v>-51345</v>
      </c>
      <c r="D33" s="23">
        <f>D31+D32</f>
        <v>-54847</v>
      </c>
      <c r="E33" s="46">
        <f>E31+E32</f>
        <v>-57516</v>
      </c>
      <c r="F33" s="23">
        <f>F31+F32</f>
        <v>-60068.841524999996</v>
      </c>
      <c r="G33" s="23">
        <f>G31+G32</f>
        <v>-64574.004639374994</v>
      </c>
      <c r="H33" s="23">
        <f>H31+H32</f>
        <v>-68303.482866506238</v>
      </c>
      <c r="I33" s="23">
        <f>I31+I32</f>
        <v>-71409.887840708994</v>
      </c>
    </row>
    <row r="34" spans="1:11" x14ac:dyDescent="0.2">
      <c r="E34" s="39"/>
      <c r="K34" t="s">
        <v>195</v>
      </c>
    </row>
    <row r="35" spans="1:11" x14ac:dyDescent="0.2">
      <c r="A35" s="8" t="s">
        <v>34</v>
      </c>
      <c r="C35" s="23">
        <f>C28+C33</f>
        <v>119437</v>
      </c>
      <c r="D35" s="23">
        <f>D28+D33</f>
        <v>114301</v>
      </c>
      <c r="E35" s="46">
        <f>E28+E33</f>
        <v>123167</v>
      </c>
      <c r="F35" s="23">
        <f>F28+F33</f>
        <v>129944.84085000001</v>
      </c>
      <c r="G35" s="23">
        <f>G28+G33</f>
        <v>141887.09862937496</v>
      </c>
      <c r="H35" s="23">
        <f>H28+H33</f>
        <v>152513.25626356871</v>
      </c>
      <c r="I35" s="23">
        <f>I28+I33</f>
        <v>164143.5616338519</v>
      </c>
    </row>
    <row r="36" spans="1:11" x14ac:dyDescent="0.2">
      <c r="A36" s="2" t="s">
        <v>30</v>
      </c>
      <c r="C36" s="21">
        <f>C35/C25</f>
        <v>0.30288744395528594</v>
      </c>
      <c r="D36" s="21">
        <f>D35/D25</f>
        <v>0.29821412265024722</v>
      </c>
      <c r="E36" s="45">
        <f>E35/E25</f>
        <v>0.31497692022453233</v>
      </c>
      <c r="F36" s="21">
        <f>F35/F25</f>
        <v>0.31800000000000006</v>
      </c>
      <c r="G36" s="21">
        <f>G35/G25</f>
        <v>0.32299999999999995</v>
      </c>
      <c r="H36" s="21">
        <f>H35/H25</f>
        <v>0.32600000000000001</v>
      </c>
      <c r="I36" s="21">
        <f>I35/I25</f>
        <v>0.33099999999999996</v>
      </c>
    </row>
    <row r="37" spans="1:11" x14ac:dyDescent="0.2">
      <c r="E37" s="39"/>
    </row>
    <row r="38" spans="1:11" x14ac:dyDescent="0.2">
      <c r="A38" s="7" t="s">
        <v>35</v>
      </c>
      <c r="C38" s="20">
        <v>-334</v>
      </c>
      <c r="D38" s="20">
        <v>-565</v>
      </c>
      <c r="E38" s="53">
        <v>250</v>
      </c>
      <c r="F38" s="20">
        <f>F19</f>
        <v>500</v>
      </c>
      <c r="G38" s="20">
        <f>G19</f>
        <v>400</v>
      </c>
      <c r="H38" s="20">
        <f>H19</f>
        <v>300</v>
      </c>
      <c r="I38" s="20">
        <f>I19</f>
        <v>250</v>
      </c>
      <c r="K38" t="s">
        <v>193</v>
      </c>
    </row>
    <row r="39" spans="1:11" x14ac:dyDescent="0.2">
      <c r="E39" s="39"/>
    </row>
    <row r="40" spans="1:11" x14ac:dyDescent="0.2">
      <c r="A40" s="8" t="s">
        <v>36</v>
      </c>
      <c r="C40" s="23">
        <f>C35+C38</f>
        <v>119103</v>
      </c>
      <c r="D40" s="23">
        <f>D35+D38</f>
        <v>113736</v>
      </c>
      <c r="E40" s="46">
        <f>E35+E38</f>
        <v>123417</v>
      </c>
      <c r="F40" s="23">
        <f>F35+F38</f>
        <v>130444.84085000001</v>
      </c>
      <c r="G40" s="23">
        <f>G35+G38</f>
        <v>142287.09862937496</v>
      </c>
      <c r="H40" s="23">
        <f>H35+H38</f>
        <v>152813.25626356871</v>
      </c>
      <c r="I40" s="23">
        <f>I35+I38</f>
        <v>164393.5616338519</v>
      </c>
    </row>
    <row r="41" spans="1:11" x14ac:dyDescent="0.2">
      <c r="A41" s="7" t="s">
        <v>37</v>
      </c>
      <c r="C41" s="20">
        <v>-19300</v>
      </c>
      <c r="D41" s="20">
        <v>-16741</v>
      </c>
      <c r="E41" s="44">
        <v>-29749</v>
      </c>
      <c r="F41" s="20">
        <f>-F40*F15</f>
        <v>-20871.174536000002</v>
      </c>
      <c r="G41" s="20">
        <f>-G40*G15</f>
        <v>-22481.361583441245</v>
      </c>
      <c r="H41" s="20">
        <f>-H40*H15</f>
        <v>-23686.05472085315</v>
      </c>
      <c r="I41" s="20">
        <f>-I40*I15</f>
        <v>-25481.002053247044</v>
      </c>
    </row>
    <row r="42" spans="1:11" x14ac:dyDescent="0.2">
      <c r="A42" s="2" t="s">
        <v>38</v>
      </c>
      <c r="C42" s="21">
        <f>-C41/C40</f>
        <v>0.16204461684424407</v>
      </c>
      <c r="D42" s="21">
        <f>-D41/D40</f>
        <v>0.14719174228036858</v>
      </c>
      <c r="E42" s="45">
        <f>-E41/E40</f>
        <v>0.24104458867092865</v>
      </c>
      <c r="F42" s="21">
        <f>-F41/F40</f>
        <v>0.16</v>
      </c>
      <c r="G42" s="21">
        <f>-G41/G40</f>
        <v>0.158</v>
      </c>
      <c r="H42" s="21">
        <f>-H41/H40</f>
        <v>0.155</v>
      </c>
      <c r="I42" s="21">
        <f>-I41/I40</f>
        <v>0.155</v>
      </c>
    </row>
    <row r="43" spans="1:11" ht="13.5" thickBot="1" x14ac:dyDescent="0.25">
      <c r="E43" s="39"/>
    </row>
    <row r="44" spans="1:11" ht="13.5" thickTop="1" x14ac:dyDescent="0.2">
      <c r="A44" s="8" t="s">
        <v>39</v>
      </c>
      <c r="C44" s="24">
        <f>C40+C41</f>
        <v>99803</v>
      </c>
      <c r="D44" s="24">
        <f>D40+D41</f>
        <v>96995</v>
      </c>
      <c r="E44" s="47">
        <f>E40+E41</f>
        <v>93668</v>
      </c>
      <c r="F44" s="24">
        <f>F40+F41</f>
        <v>109573.666314</v>
      </c>
      <c r="G44" s="24">
        <f>G40+G41</f>
        <v>119805.73704593371</v>
      </c>
      <c r="H44" s="24">
        <f>H40+H41</f>
        <v>129127.20154271556</v>
      </c>
      <c r="I44" s="24">
        <f>I40+I41</f>
        <v>138912.55958060487</v>
      </c>
    </row>
    <row r="45" spans="1:11" x14ac:dyDescent="0.2">
      <c r="A45" s="2" t="s">
        <v>30</v>
      </c>
      <c r="C45" s="21">
        <f>C44/C25</f>
        <v>0.25309640705199732</v>
      </c>
      <c r="D45" s="21">
        <f>D44/D25</f>
        <v>0.25306234264320282</v>
      </c>
      <c r="E45" s="45">
        <f>E44/E25</f>
        <v>0.23953866022223075</v>
      </c>
      <c r="F45" s="21">
        <f>F44/F25</f>
        <v>0.26814782072090249</v>
      </c>
      <c r="G45" s="21">
        <f>G44/G25</f>
        <v>0.27273271100509394</v>
      </c>
      <c r="H45" s="21">
        <f>H44/H25</f>
        <v>0.27601186109473119</v>
      </c>
      <c r="I45" s="21">
        <f>I44/I25</f>
        <v>0.28012099142667551</v>
      </c>
    </row>
    <row r="46" spans="1:11" x14ac:dyDescent="0.2">
      <c r="E46" s="39"/>
    </row>
    <row r="47" spans="1:11" x14ac:dyDescent="0.2">
      <c r="A47" s="8" t="s">
        <v>40</v>
      </c>
      <c r="C47" s="54">
        <v>6.11</v>
      </c>
      <c r="D47" s="54">
        <v>6.13</v>
      </c>
      <c r="E47" s="55">
        <v>6.08</v>
      </c>
      <c r="F47" s="17">
        <f>F44/F22</f>
        <v>7.2806422800000004</v>
      </c>
      <c r="G47" s="17">
        <f>G44/G22</f>
        <v>8.1500501391791644</v>
      </c>
      <c r="H47" s="17">
        <f>H44/H22</f>
        <v>8.9921449542281024</v>
      </c>
      <c r="I47" s="17">
        <f>I44/I22</f>
        <v>9.9011090221386215</v>
      </c>
    </row>
    <row r="48" spans="1:11" x14ac:dyDescent="0.2">
      <c r="A48" s="2" t="s">
        <v>24</v>
      </c>
      <c r="C48" s="25">
        <f>C22</f>
        <v>16326</v>
      </c>
      <c r="D48" s="25">
        <f>D22</f>
        <v>15813</v>
      </c>
      <c r="E48" s="48">
        <f>E22</f>
        <v>15408</v>
      </c>
      <c r="F48" s="25">
        <f>F22</f>
        <v>15050</v>
      </c>
      <c r="G48" s="25">
        <f>G22</f>
        <v>14700</v>
      </c>
      <c r="H48" s="25">
        <f>H22</f>
        <v>14360</v>
      </c>
      <c r="I48" s="25">
        <f>I22</f>
        <v>14030</v>
      </c>
    </row>
    <row r="49" spans="1:11" x14ac:dyDescent="0.2">
      <c r="E49" s="39"/>
    </row>
    <row r="50" spans="1:11" x14ac:dyDescent="0.2">
      <c r="A50" s="8" t="s">
        <v>41</v>
      </c>
      <c r="C50" s="22">
        <f>C35+C16</f>
        <v>130541</v>
      </c>
      <c r="D50" s="22">
        <f>D35+D16</f>
        <v>125820</v>
      </c>
      <c r="E50" s="49">
        <f>E35+E16</f>
        <v>134612</v>
      </c>
      <c r="F50" s="22">
        <f>F35+F16</f>
        <v>141744.84085000001</v>
      </c>
      <c r="G50" s="22">
        <f>G35+G16</f>
        <v>154087.09862937496</v>
      </c>
      <c r="H50" s="22">
        <f>H35+H16</f>
        <v>165113.25626356871</v>
      </c>
      <c r="I50" s="22">
        <f>I35+I16</f>
        <v>177143.5616338519</v>
      </c>
      <c r="K50" t="s">
        <v>194</v>
      </c>
    </row>
    <row r="51" spans="1:11" x14ac:dyDescent="0.2">
      <c r="A51" s="2" t="s">
        <v>30</v>
      </c>
      <c r="C51" s="21">
        <f>C50/C25</f>
        <v>0.3310467428130896</v>
      </c>
      <c r="D51" s="21">
        <f>D50/D25</f>
        <v>0.32826747720364741</v>
      </c>
      <c r="E51" s="45">
        <f>E50/E25</f>
        <v>0.34424540002813048</v>
      </c>
      <c r="F51" s="21">
        <f>F50/F25</f>
        <v>0.34687686787297339</v>
      </c>
      <c r="G51" s="21">
        <f>G50/G25</f>
        <v>0.35077278581397514</v>
      </c>
      <c r="H51" s="21">
        <f>H50/H25</f>
        <v>0.35293274080320841</v>
      </c>
      <c r="I51" s="21">
        <f>I50/I25</f>
        <v>0.35721485702618366</v>
      </c>
    </row>
    <row r="52" spans="1:11" x14ac:dyDescent="0.2">
      <c r="E52" s="39"/>
    </row>
    <row r="53" spans="1:11" ht="15" x14ac:dyDescent="0.25">
      <c r="A53" s="19" t="s">
        <v>42</v>
      </c>
      <c r="B53" s="3"/>
      <c r="C53" s="3"/>
      <c r="D53" s="3"/>
      <c r="E53" s="43"/>
      <c r="F53" s="3"/>
      <c r="G53" s="3"/>
      <c r="H53" s="3"/>
      <c r="I53" s="3"/>
    </row>
    <row r="54" spans="1:11" x14ac:dyDescent="0.2">
      <c r="A54" s="9" t="s">
        <v>43</v>
      </c>
      <c r="B54" s="10"/>
      <c r="C54" s="10"/>
      <c r="D54" s="10"/>
      <c r="E54" s="37"/>
      <c r="F54" s="10"/>
      <c r="G54" s="10"/>
      <c r="H54" s="10"/>
      <c r="I54" s="10"/>
    </row>
    <row r="55" spans="1:11" x14ac:dyDescent="0.2">
      <c r="A55" s="7" t="s">
        <v>44</v>
      </c>
      <c r="C55" s="20">
        <v>23646</v>
      </c>
      <c r="D55" s="20">
        <v>29965</v>
      </c>
      <c r="E55" s="44">
        <v>29943</v>
      </c>
      <c r="F55" s="20">
        <f>E55+F107</f>
        <v>43522.666314000002</v>
      </c>
      <c r="G55" s="20">
        <f>F55+G107</f>
        <v>68545.403359933727</v>
      </c>
      <c r="H55" s="20">
        <f>G55+H107</f>
        <v>102974.40490264927</v>
      </c>
      <c r="I55" s="20">
        <f>H55+I107</f>
        <v>146592.16448325414</v>
      </c>
    </row>
    <row r="56" spans="1:11" x14ac:dyDescent="0.2">
      <c r="A56" s="7" t="s">
        <v>45</v>
      </c>
      <c r="C56" s="20">
        <v>24658</v>
      </c>
      <c r="D56" s="20">
        <v>31590</v>
      </c>
      <c r="E56" s="44">
        <v>35228</v>
      </c>
      <c r="F56" s="26">
        <v>36000</v>
      </c>
      <c r="G56" s="26">
        <v>37000</v>
      </c>
      <c r="H56" s="26">
        <v>38000</v>
      </c>
      <c r="I56" s="26">
        <v>39000</v>
      </c>
    </row>
    <row r="57" spans="1:11" x14ac:dyDescent="0.2">
      <c r="A57" s="7" t="s">
        <v>46</v>
      </c>
      <c r="C57" s="20">
        <v>28184</v>
      </c>
      <c r="D57" s="20">
        <v>29508</v>
      </c>
      <c r="E57" s="44">
        <v>33410</v>
      </c>
      <c r="F57" s="20">
        <f>ROUND(F25*E57/E25,0)</f>
        <v>34913</v>
      </c>
      <c r="G57" s="20">
        <f>ROUND(G25*F57/F25,0)</f>
        <v>37531</v>
      </c>
      <c r="H57" s="20">
        <f>ROUND(H25*G57/G25,0)</f>
        <v>39971</v>
      </c>
      <c r="I57" s="20">
        <f>ROUND(I25*H57/H25,0)</f>
        <v>42369</v>
      </c>
    </row>
    <row r="58" spans="1:11" x14ac:dyDescent="0.2">
      <c r="A58" s="7" t="s">
        <v>47</v>
      </c>
      <c r="C58" s="20">
        <v>4946</v>
      </c>
      <c r="D58" s="20">
        <v>6331</v>
      </c>
      <c r="E58" s="44">
        <v>7286</v>
      </c>
      <c r="F58" s="20">
        <f>ROUND(F25*E58/E25,0)</f>
        <v>7614</v>
      </c>
      <c r="G58" s="20">
        <f>ROUND(G25*F58/F25,0)</f>
        <v>8185</v>
      </c>
      <c r="H58" s="20">
        <f>ROUND(H25*G58/G25,0)</f>
        <v>8717</v>
      </c>
      <c r="I58" s="20">
        <f>ROUND(I25*H58/H25,0)</f>
        <v>9240</v>
      </c>
      <c r="K58" t="s">
        <v>197</v>
      </c>
    </row>
    <row r="59" spans="1:11" x14ac:dyDescent="0.2">
      <c r="A59" s="7" t="s">
        <v>48</v>
      </c>
      <c r="C59" s="20">
        <v>53971</v>
      </c>
      <c r="D59" s="20">
        <v>46172</v>
      </c>
      <c r="E59" s="44">
        <v>47120</v>
      </c>
      <c r="F59" s="20">
        <f>ROUND(F25*E59/E25,0)</f>
        <v>49240</v>
      </c>
      <c r="G59" s="20">
        <f>ROUND(G25*F59/F25,0)</f>
        <v>52933</v>
      </c>
      <c r="H59" s="20">
        <f>ROUND(H25*G59/G25,0)</f>
        <v>56374</v>
      </c>
      <c r="I59" s="20">
        <f>ROUND(I25*H59/H25,0)</f>
        <v>59756</v>
      </c>
    </row>
    <row r="60" spans="1:11" x14ac:dyDescent="0.2">
      <c r="A60" s="8" t="s">
        <v>49</v>
      </c>
      <c r="C60" s="23">
        <f>SUM(C55:C59)</f>
        <v>135405</v>
      </c>
      <c r="D60" s="23">
        <f>SUM(D55:D59)</f>
        <v>143566</v>
      </c>
      <c r="E60" s="46">
        <f>SUM(E55:E59)</f>
        <v>152987</v>
      </c>
      <c r="F60" s="23">
        <f>SUM(F55:F59)</f>
        <v>171289.666314</v>
      </c>
      <c r="G60" s="27">
        <f>SUM(G55:G59)</f>
        <v>204194.40335993373</v>
      </c>
      <c r="H60" s="27">
        <f>SUM(H55:H59)</f>
        <v>246036.40490264929</v>
      </c>
      <c r="I60" s="27">
        <f>SUM(I55:I59)</f>
        <v>296957.16448325414</v>
      </c>
    </row>
    <row r="61" spans="1:11" x14ac:dyDescent="0.2">
      <c r="E61" s="39"/>
    </row>
    <row r="62" spans="1:11" x14ac:dyDescent="0.2">
      <c r="A62" s="7" t="s">
        <v>50</v>
      </c>
      <c r="C62" s="20">
        <v>42117</v>
      </c>
      <c r="D62" s="20">
        <v>43715</v>
      </c>
      <c r="E62" s="53">
        <v>44856</v>
      </c>
      <c r="F62" s="20">
        <f>E62-F17-F16</f>
        <v>44056</v>
      </c>
      <c r="G62" s="20">
        <f>F62-G17-G16</f>
        <v>44356</v>
      </c>
      <c r="H62" s="20">
        <f>G62-H17-H16</f>
        <v>45256</v>
      </c>
      <c r="I62" s="20">
        <f>H62-I17-I16</f>
        <v>46256</v>
      </c>
    </row>
    <row r="63" spans="1:11" x14ac:dyDescent="0.2">
      <c r="A63" s="7" t="s">
        <v>51</v>
      </c>
      <c r="C63" s="20">
        <v>120805</v>
      </c>
      <c r="D63" s="20">
        <v>100544</v>
      </c>
      <c r="E63" s="53">
        <v>91637</v>
      </c>
      <c r="F63" s="26">
        <v>88000</v>
      </c>
      <c r="G63" s="26">
        <v>85000</v>
      </c>
      <c r="H63" s="26">
        <v>82000</v>
      </c>
      <c r="I63" s="26">
        <v>80000</v>
      </c>
    </row>
    <row r="64" spans="1:11" ht="13.5" thickBot="1" x14ac:dyDescent="0.25">
      <c r="A64" s="7" t="s">
        <v>52</v>
      </c>
      <c r="C64" s="20">
        <v>54428</v>
      </c>
      <c r="D64" s="20">
        <v>64758</v>
      </c>
      <c r="E64" s="53">
        <v>75500</v>
      </c>
      <c r="F64" s="26">
        <v>79000</v>
      </c>
      <c r="G64" s="26">
        <v>82000</v>
      </c>
      <c r="H64" s="26">
        <v>85000</v>
      </c>
      <c r="I64" s="26">
        <v>88000</v>
      </c>
    </row>
    <row r="65" spans="1:11" ht="13.5" thickTop="1" x14ac:dyDescent="0.2">
      <c r="A65" s="8" t="s">
        <v>53</v>
      </c>
      <c r="C65" s="24">
        <f>C60+C62+C63+C64</f>
        <v>352755</v>
      </c>
      <c r="D65" s="24">
        <f>D60+D62+D63+D64</f>
        <v>352583</v>
      </c>
      <c r="E65" s="47">
        <f>E60+E62+E63+E64</f>
        <v>364980</v>
      </c>
      <c r="F65" s="24">
        <f>F60+F62+F63+F64</f>
        <v>382345.66631400003</v>
      </c>
      <c r="G65" s="24">
        <f>G60+G62+G63+G64</f>
        <v>415550.40335993376</v>
      </c>
      <c r="H65" s="24">
        <f>H60+H62+H63+H64</f>
        <v>458292.40490264929</v>
      </c>
      <c r="I65" s="24">
        <f>I60+I62+I63+I64</f>
        <v>511213.16448325414</v>
      </c>
    </row>
    <row r="66" spans="1:11" x14ac:dyDescent="0.2">
      <c r="E66" s="39"/>
    </row>
    <row r="67" spans="1:11" x14ac:dyDescent="0.2">
      <c r="A67" s="9" t="s">
        <v>54</v>
      </c>
      <c r="B67" s="10"/>
      <c r="C67" s="10"/>
      <c r="D67" s="10"/>
      <c r="E67" s="37"/>
      <c r="F67" s="10"/>
      <c r="G67" s="10"/>
      <c r="H67" s="10"/>
      <c r="I67" s="10"/>
    </row>
    <row r="68" spans="1:11" x14ac:dyDescent="0.2">
      <c r="A68" s="7" t="s">
        <v>55</v>
      </c>
      <c r="C68" s="20">
        <v>64115</v>
      </c>
      <c r="D68" s="20">
        <v>62611</v>
      </c>
      <c r="E68" s="44">
        <v>68960</v>
      </c>
      <c r="F68" s="20">
        <f>ROUND(F27/E27*E68,0)</f>
        <v>71670</v>
      </c>
      <c r="G68" s="20">
        <f>ROUND(G27/F27*F68,0)</f>
        <v>76325</v>
      </c>
      <c r="H68" s="20">
        <f>ROUND(H27/G27*G68,0)</f>
        <v>80979</v>
      </c>
      <c r="I68" s="20">
        <f>ROUND(I27/H27*H68,0)</f>
        <v>85350</v>
      </c>
    </row>
    <row r="69" spans="1:11" x14ac:dyDescent="0.2">
      <c r="A69" s="7" t="s">
        <v>56</v>
      </c>
      <c r="C69" s="20">
        <v>7912</v>
      </c>
      <c r="D69" s="20">
        <v>8061</v>
      </c>
      <c r="E69" s="44">
        <v>8249</v>
      </c>
      <c r="F69" s="20">
        <f>ROUND(F25*E69/E25,0)</f>
        <v>8620</v>
      </c>
      <c r="G69" s="20">
        <f>ROUND(G25*F69/F25,0)</f>
        <v>9267</v>
      </c>
      <c r="H69" s="20">
        <f>ROUND(H25*G69/G25,0)</f>
        <v>9869</v>
      </c>
      <c r="I69" s="20">
        <f>ROUND(I25*H69/H25,0)</f>
        <v>10461</v>
      </c>
    </row>
    <row r="70" spans="1:11" x14ac:dyDescent="0.2">
      <c r="A70" s="7" t="s">
        <v>57</v>
      </c>
      <c r="C70" s="20">
        <v>81955</v>
      </c>
      <c r="D70" s="20">
        <v>74636</v>
      </c>
      <c r="E70" s="44">
        <v>99183</v>
      </c>
      <c r="F70" s="20">
        <f>ROUND(F25*E70/E25,0)</f>
        <v>103646</v>
      </c>
      <c r="G70" s="20">
        <f>ROUND(G25*F70/F25,0)</f>
        <v>111419</v>
      </c>
      <c r="H70" s="20">
        <f>ROUND(H25*G70/G25,0)</f>
        <v>118661</v>
      </c>
      <c r="I70" s="20">
        <f>ROUND(I25*H70/H25,0)</f>
        <v>125781</v>
      </c>
    </row>
    <row r="71" spans="1:11" x14ac:dyDescent="0.2">
      <c r="A71" s="8" t="s">
        <v>58</v>
      </c>
      <c r="C71" s="23">
        <f>SUM(C68:C70)</f>
        <v>153982</v>
      </c>
      <c r="D71" s="23">
        <f>SUM(D68:D70)</f>
        <v>145308</v>
      </c>
      <c r="E71" s="46">
        <f>SUM(E68:E70)</f>
        <v>176392</v>
      </c>
      <c r="F71" s="23">
        <f>SUM(F68:F70)</f>
        <v>183936</v>
      </c>
      <c r="G71" s="27">
        <f>SUM(G68:G70)</f>
        <v>197011</v>
      </c>
      <c r="H71" s="27">
        <f>SUM(H68:H70)</f>
        <v>209509</v>
      </c>
      <c r="I71" s="27">
        <f>SUM(I68:I70)</f>
        <v>221592</v>
      </c>
    </row>
    <row r="72" spans="1:11" x14ac:dyDescent="0.2">
      <c r="E72" s="39"/>
    </row>
    <row r="73" spans="1:11" x14ac:dyDescent="0.2">
      <c r="A73" s="7" t="s">
        <v>59</v>
      </c>
      <c r="C73" s="20">
        <v>98959</v>
      </c>
      <c r="D73" s="20">
        <v>95281</v>
      </c>
      <c r="E73" s="44">
        <v>96800</v>
      </c>
      <c r="F73" s="26">
        <v>92000</v>
      </c>
      <c r="G73" s="26">
        <v>87000</v>
      </c>
      <c r="H73" s="26">
        <v>82000</v>
      </c>
      <c r="I73" s="26">
        <v>77000</v>
      </c>
      <c r="K73" t="s">
        <v>198</v>
      </c>
    </row>
    <row r="74" spans="1:11" x14ac:dyDescent="0.2">
      <c r="A74" s="7" t="s">
        <v>60</v>
      </c>
      <c r="C74" s="20">
        <v>49142</v>
      </c>
      <c r="D74" s="20">
        <v>49848</v>
      </c>
      <c r="E74" s="53">
        <v>34838</v>
      </c>
      <c r="F74" s="26">
        <v>35500</v>
      </c>
      <c r="G74" s="26">
        <v>36000</v>
      </c>
      <c r="H74" s="26">
        <v>36500</v>
      </c>
      <c r="I74" s="26">
        <v>37000</v>
      </c>
    </row>
    <row r="75" spans="1:11" x14ac:dyDescent="0.2">
      <c r="A75" s="8" t="s">
        <v>61</v>
      </c>
      <c r="C75" s="23">
        <f>C71+C73+C74</f>
        <v>302083</v>
      </c>
      <c r="D75" s="23">
        <f>D71+D73+D74</f>
        <v>290437</v>
      </c>
      <c r="E75" s="46">
        <f>E71+E73+E74</f>
        <v>308030</v>
      </c>
      <c r="F75" s="23">
        <f>F71+F73+F74</f>
        <v>311436</v>
      </c>
      <c r="G75" s="23">
        <f>G71+G73+G74</f>
        <v>320011</v>
      </c>
      <c r="H75" s="23">
        <f>H71+H73+H74</f>
        <v>328009</v>
      </c>
      <c r="I75" s="23">
        <f>I71+I73+I74</f>
        <v>335592</v>
      </c>
    </row>
    <row r="76" spans="1:11" x14ac:dyDescent="0.2">
      <c r="E76" s="39"/>
    </row>
    <row r="77" spans="1:11" x14ac:dyDescent="0.2">
      <c r="A77" s="8" t="s">
        <v>62</v>
      </c>
      <c r="C77" s="22">
        <v>50672</v>
      </c>
      <c r="D77" s="22">
        <v>62146</v>
      </c>
      <c r="E77" s="49">
        <v>56950</v>
      </c>
      <c r="F77" s="22">
        <f>F65-F75</f>
        <v>70909.666314000031</v>
      </c>
      <c r="G77" s="22">
        <f>G65-G75</f>
        <v>95539.403359933756</v>
      </c>
      <c r="H77" s="22">
        <f>H65-H75</f>
        <v>130283.40490264929</v>
      </c>
      <c r="I77" s="22">
        <f>I65-I75</f>
        <v>175621.16448325414</v>
      </c>
      <c r="K77" t="s">
        <v>199</v>
      </c>
    </row>
    <row r="78" spans="1:11" ht="13.5" thickBot="1" x14ac:dyDescent="0.25">
      <c r="E78" s="39"/>
      <c r="K78" t="s">
        <v>200</v>
      </c>
    </row>
    <row r="79" spans="1:11" ht="13.5" thickTop="1" x14ac:dyDescent="0.2">
      <c r="A79" s="8" t="s">
        <v>63</v>
      </c>
      <c r="C79" s="24">
        <f>C75+C77</f>
        <v>352755</v>
      </c>
      <c r="D79" s="24">
        <f>D75+D77</f>
        <v>352583</v>
      </c>
      <c r="E79" s="47">
        <f>E75+E77</f>
        <v>364980</v>
      </c>
      <c r="F79" s="24">
        <f>F75+F77</f>
        <v>382345.66631400003</v>
      </c>
      <c r="G79" s="24">
        <f>G75+G77</f>
        <v>415550.40335993376</v>
      </c>
      <c r="H79" s="24">
        <f>H75+H77</f>
        <v>458292.40490264929</v>
      </c>
      <c r="I79" s="24">
        <f>I75+I77</f>
        <v>511213.16448325414</v>
      </c>
    </row>
    <row r="80" spans="1:11" x14ac:dyDescent="0.2">
      <c r="E80" s="39"/>
    </row>
    <row r="81" spans="1:9" x14ac:dyDescent="0.2">
      <c r="A81" s="28" t="s">
        <v>64</v>
      </c>
      <c r="C81" s="29">
        <f>C65-C79</f>
        <v>0</v>
      </c>
      <c r="D81" s="29">
        <f>D65-D79</f>
        <v>0</v>
      </c>
      <c r="E81" s="50">
        <f>E65-E79</f>
        <v>0</v>
      </c>
      <c r="F81" s="29">
        <f>F65-F79</f>
        <v>0</v>
      </c>
      <c r="G81" s="29">
        <f>G65-G79</f>
        <v>0</v>
      </c>
      <c r="H81" s="29">
        <f>H65-H79</f>
        <v>0</v>
      </c>
      <c r="I81" s="29">
        <f>I65-I79</f>
        <v>0</v>
      </c>
    </row>
    <row r="82" spans="1:9" x14ac:dyDescent="0.2">
      <c r="E82" s="39"/>
    </row>
    <row r="83" spans="1:9" ht="15" x14ac:dyDescent="0.25">
      <c r="A83" s="19" t="s">
        <v>65</v>
      </c>
      <c r="B83" s="3"/>
      <c r="C83" s="3"/>
      <c r="D83" s="3"/>
      <c r="E83" s="43"/>
      <c r="F83" s="3"/>
      <c r="G83" s="3"/>
      <c r="H83" s="3"/>
      <c r="I83" s="3"/>
    </row>
    <row r="84" spans="1:9" x14ac:dyDescent="0.2">
      <c r="A84" s="9" t="s">
        <v>66</v>
      </c>
      <c r="B84" s="10"/>
      <c r="C84" s="10"/>
      <c r="D84" s="10"/>
      <c r="E84" s="37"/>
      <c r="F84" s="10"/>
      <c r="G84" s="10"/>
      <c r="H84" s="10"/>
      <c r="I84" s="10"/>
    </row>
    <row r="85" spans="1:9" x14ac:dyDescent="0.2">
      <c r="A85" s="7" t="s">
        <v>39</v>
      </c>
      <c r="C85" s="20">
        <f>C44</f>
        <v>99803</v>
      </c>
      <c r="D85" s="20">
        <f>D44</f>
        <v>96995</v>
      </c>
      <c r="E85" s="44">
        <f>E44</f>
        <v>93668</v>
      </c>
      <c r="F85" s="20">
        <f>F44</f>
        <v>109573.666314</v>
      </c>
      <c r="G85" s="20">
        <f>G44</f>
        <v>119805.73704593371</v>
      </c>
      <c r="H85" s="20">
        <f>H44</f>
        <v>129127.20154271556</v>
      </c>
      <c r="I85" s="20">
        <f>I44</f>
        <v>138912.55958060487</v>
      </c>
    </row>
    <row r="86" spans="1:9" x14ac:dyDescent="0.2">
      <c r="A86" s="7" t="s">
        <v>67</v>
      </c>
      <c r="C86" s="20">
        <f>C16</f>
        <v>11104</v>
      </c>
      <c r="D86" s="20">
        <f>D16</f>
        <v>11519</v>
      </c>
      <c r="E86" s="44">
        <f>E16</f>
        <v>11445</v>
      </c>
      <c r="F86" s="20">
        <f>F16</f>
        <v>11800</v>
      </c>
      <c r="G86" s="20">
        <f>G16</f>
        <v>12200</v>
      </c>
      <c r="H86" s="20">
        <f>H16</f>
        <v>12600</v>
      </c>
      <c r="I86" s="20">
        <f>I16</f>
        <v>13000</v>
      </c>
    </row>
    <row r="87" spans="1:9" x14ac:dyDescent="0.2">
      <c r="A87" s="7" t="s">
        <v>68</v>
      </c>
      <c r="C87" s="20">
        <f>C18</f>
        <v>9038</v>
      </c>
      <c r="D87" s="20">
        <f>D18</f>
        <v>10833</v>
      </c>
      <c r="E87" s="44">
        <f>E18</f>
        <v>11688</v>
      </c>
      <c r="F87" s="20">
        <f>F18</f>
        <v>12500</v>
      </c>
      <c r="G87" s="20">
        <f>G18</f>
        <v>13500</v>
      </c>
      <c r="H87" s="20">
        <f>H18</f>
        <v>14500</v>
      </c>
      <c r="I87" s="20">
        <f>I18</f>
        <v>15500</v>
      </c>
    </row>
    <row r="88" spans="1:9" x14ac:dyDescent="0.2">
      <c r="A88" s="7" t="s">
        <v>69</v>
      </c>
      <c r="C88" s="20">
        <v>1901</v>
      </c>
      <c r="D88" s="20">
        <v>-9744</v>
      </c>
      <c r="E88" s="44">
        <v>2536</v>
      </c>
      <c r="F88" s="26">
        <v>1500</v>
      </c>
      <c r="G88" s="26">
        <v>1500</v>
      </c>
      <c r="H88" s="26">
        <v>1500</v>
      </c>
      <c r="I88" s="26">
        <v>1500</v>
      </c>
    </row>
    <row r="89" spans="1:9" x14ac:dyDescent="0.2">
      <c r="A89" s="7" t="s">
        <v>70</v>
      </c>
      <c r="C89" s="20">
        <v>-4280</v>
      </c>
      <c r="D89" s="20">
        <v>-1180</v>
      </c>
      <c r="E89" s="44">
        <v>14505</v>
      </c>
      <c r="F89" s="20">
        <f>-(F57-E57)-(F58-E58)-(F59-E59)+(F68-E68)+(F69-E69)+(F70-E70)</f>
        <v>3593</v>
      </c>
      <c r="G89" s="20">
        <f>-(G57-F57)-(G58-F58)-(G59-F59)+(G68-F68)+(G69-F69)+(G70-F70)</f>
        <v>6193</v>
      </c>
      <c r="H89" s="20">
        <f>-(H57-G57)-(H58-G58)-(H59-G59)+(H68-G68)+(H69-G69)+(H70-G70)</f>
        <v>6085</v>
      </c>
      <c r="I89" s="20">
        <f>-(I57-H57)-(I58-H58)-(I59-H59)+(I68-H68)+(I69-H69)+(I70-H70)</f>
        <v>5780</v>
      </c>
    </row>
    <row r="90" spans="1:9" x14ac:dyDescent="0.2">
      <c r="A90" s="8" t="s">
        <v>71</v>
      </c>
      <c r="C90" s="23">
        <f>SUM(C85:C89)</f>
        <v>117566</v>
      </c>
      <c r="D90" s="23">
        <f>SUM(D85:D89)</f>
        <v>108423</v>
      </c>
      <c r="E90" s="46">
        <f>SUM(E85:E89)</f>
        <v>133842</v>
      </c>
      <c r="F90" s="23">
        <f>SUM(F85:F89)</f>
        <v>138966.666314</v>
      </c>
      <c r="G90" s="27">
        <f>SUM(G85:G89)</f>
        <v>153198.73704593373</v>
      </c>
      <c r="H90" s="27">
        <f>SUM(H85:H89)</f>
        <v>163812.20154271554</v>
      </c>
      <c r="I90" s="27">
        <f>SUM(I85:I89)</f>
        <v>174692.55958060487</v>
      </c>
    </row>
    <row r="91" spans="1:9" x14ac:dyDescent="0.2">
      <c r="E91" s="39"/>
    </row>
    <row r="92" spans="1:9" x14ac:dyDescent="0.2">
      <c r="A92" s="9" t="s">
        <v>72</v>
      </c>
      <c r="B92" s="10"/>
      <c r="C92" s="10"/>
      <c r="D92" s="10"/>
      <c r="E92" s="37"/>
      <c r="F92" s="10"/>
      <c r="G92" s="10"/>
      <c r="H92" s="10"/>
      <c r="I92" s="10"/>
    </row>
    <row r="93" spans="1:9" x14ac:dyDescent="0.2">
      <c r="A93" s="7" t="s">
        <v>73</v>
      </c>
      <c r="C93" s="20">
        <f>C17</f>
        <v>-10708</v>
      </c>
      <c r="D93" s="20">
        <f>D17</f>
        <v>-10959</v>
      </c>
      <c r="E93" s="44">
        <f>E17</f>
        <v>-9959</v>
      </c>
      <c r="F93" s="20">
        <f>F17</f>
        <v>-11000</v>
      </c>
      <c r="G93" s="20">
        <f>G17</f>
        <v>-12500</v>
      </c>
      <c r="H93" s="20">
        <f>H17</f>
        <v>-13500</v>
      </c>
      <c r="I93" s="20">
        <f>I17</f>
        <v>-14000</v>
      </c>
    </row>
    <row r="94" spans="1:9" x14ac:dyDescent="0.2">
      <c r="A94" s="7" t="s">
        <v>74</v>
      </c>
      <c r="C94" s="20">
        <v>-9560</v>
      </c>
      <c r="D94" s="20">
        <v>16001</v>
      </c>
      <c r="E94" s="44">
        <v>11339</v>
      </c>
      <c r="F94" s="20">
        <f>-(F56-E56)-(F63-E63)</f>
        <v>2865</v>
      </c>
      <c r="G94" s="20">
        <f>-(G56-F56)-(G63-F63)</f>
        <v>2000</v>
      </c>
      <c r="H94" s="20">
        <f>-(H56-G56)-(H63-G63)</f>
        <v>2000</v>
      </c>
      <c r="I94" s="20">
        <f>-(I56-H56)-(I63-H63)</f>
        <v>1000</v>
      </c>
    </row>
    <row r="95" spans="1:9" x14ac:dyDescent="0.2">
      <c r="A95" s="7" t="s">
        <v>75</v>
      </c>
      <c r="C95" s="20">
        <v>-1780</v>
      </c>
      <c r="D95" s="20">
        <v>-1337</v>
      </c>
      <c r="E95" s="44">
        <v>-1308</v>
      </c>
      <c r="F95" s="26">
        <v>-1300</v>
      </c>
      <c r="G95" s="26">
        <v>-1300</v>
      </c>
      <c r="H95" s="26">
        <v>-1300</v>
      </c>
      <c r="I95" s="26">
        <v>-1300</v>
      </c>
    </row>
    <row r="96" spans="1:9" x14ac:dyDescent="0.2">
      <c r="A96" s="8" t="s">
        <v>76</v>
      </c>
      <c r="C96" s="23">
        <f>SUM(C93:C95)</f>
        <v>-22048</v>
      </c>
      <c r="D96" s="23">
        <f>SUM(D93:D95)</f>
        <v>3705</v>
      </c>
      <c r="E96" s="46">
        <f>SUM(E93:E95)</f>
        <v>72</v>
      </c>
      <c r="F96" s="23">
        <f>SUM(F93:F95)</f>
        <v>-9435</v>
      </c>
      <c r="G96" s="27">
        <f>SUM(G93:G95)</f>
        <v>-11800</v>
      </c>
      <c r="H96" s="27">
        <f>SUM(H93:H95)</f>
        <v>-12800</v>
      </c>
      <c r="I96" s="27">
        <f>SUM(I93:I95)</f>
        <v>-14300</v>
      </c>
    </row>
    <row r="97" spans="1:9" x14ac:dyDescent="0.2">
      <c r="E97" s="39"/>
    </row>
    <row r="98" spans="1:9" x14ac:dyDescent="0.2">
      <c r="A98" s="9" t="s">
        <v>77</v>
      </c>
      <c r="B98" s="10"/>
      <c r="C98" s="10"/>
      <c r="D98" s="10"/>
      <c r="E98" s="37"/>
      <c r="F98" s="10"/>
      <c r="G98" s="10"/>
      <c r="H98" s="10"/>
      <c r="I98" s="10"/>
    </row>
    <row r="99" spans="1:9" x14ac:dyDescent="0.2">
      <c r="A99" s="7" t="s">
        <v>78</v>
      </c>
      <c r="C99" s="20">
        <f>C21</f>
        <v>-89402</v>
      </c>
      <c r="D99" s="20">
        <f>D21</f>
        <v>-77550</v>
      </c>
      <c r="E99" s="44">
        <f>E21</f>
        <v>-94949</v>
      </c>
      <c r="F99" s="20">
        <f>F21</f>
        <v>-90000</v>
      </c>
      <c r="G99" s="20">
        <f>G21</f>
        <v>-90000</v>
      </c>
      <c r="H99" s="20">
        <f>H21</f>
        <v>-90000</v>
      </c>
      <c r="I99" s="20">
        <f>I21</f>
        <v>-90000</v>
      </c>
    </row>
    <row r="100" spans="1:9" x14ac:dyDescent="0.2">
      <c r="A100" s="7" t="s">
        <v>79</v>
      </c>
      <c r="C100" s="20">
        <v>-14841</v>
      </c>
      <c r="D100" s="20">
        <v>-15025</v>
      </c>
      <c r="E100" s="44">
        <v>-15234</v>
      </c>
      <c r="F100" s="20">
        <f>-F20*F22</f>
        <v>-15652</v>
      </c>
      <c r="G100" s="20">
        <f>-G20*G22</f>
        <v>-15876.000000000002</v>
      </c>
      <c r="H100" s="20">
        <f>-H20*H22</f>
        <v>-16083.2</v>
      </c>
      <c r="I100" s="20">
        <f>-I20*I22</f>
        <v>-16274.8</v>
      </c>
    </row>
    <row r="101" spans="1:9" x14ac:dyDescent="0.2">
      <c r="A101" s="7" t="s">
        <v>80</v>
      </c>
      <c r="C101" s="20">
        <v>-4078</v>
      </c>
      <c r="D101" s="20">
        <v>-5923</v>
      </c>
      <c r="E101" s="44">
        <v>-5449</v>
      </c>
      <c r="F101" s="20">
        <f>F73-E73</f>
        <v>-4800</v>
      </c>
      <c r="G101" s="20">
        <f>G73-F73</f>
        <v>-5000</v>
      </c>
      <c r="H101" s="20">
        <f>H73-G73</f>
        <v>-5000</v>
      </c>
      <c r="I101" s="20">
        <f>I73-H73</f>
        <v>-5000</v>
      </c>
    </row>
    <row r="102" spans="1:9" x14ac:dyDescent="0.2">
      <c r="A102" s="7" t="s">
        <v>81</v>
      </c>
      <c r="C102" s="20">
        <v>-3988</v>
      </c>
      <c r="D102" s="20">
        <v>-6012</v>
      </c>
      <c r="E102" s="44">
        <v>-5765</v>
      </c>
      <c r="F102" s="26">
        <v>-5500</v>
      </c>
      <c r="G102" s="26">
        <v>-5500</v>
      </c>
      <c r="H102" s="26">
        <v>-5500</v>
      </c>
      <c r="I102" s="26">
        <v>-5500</v>
      </c>
    </row>
    <row r="103" spans="1:9" x14ac:dyDescent="0.2">
      <c r="A103" s="8" t="s">
        <v>82</v>
      </c>
      <c r="C103" s="23">
        <f>SUM(C99:C102)</f>
        <v>-112309</v>
      </c>
      <c r="D103" s="23">
        <f>SUM(D99:D102)</f>
        <v>-104510</v>
      </c>
      <c r="E103" s="46">
        <f>SUM(E99:E102)</f>
        <v>-121397</v>
      </c>
      <c r="F103" s="23">
        <f>SUM(F99:F102)</f>
        <v>-115952</v>
      </c>
      <c r="G103" s="27">
        <f>SUM(G99:G102)</f>
        <v>-116376</v>
      </c>
      <c r="H103" s="27">
        <f>SUM(H99:H102)</f>
        <v>-116583.2</v>
      </c>
      <c r="I103" s="27">
        <f>SUM(I99:I102)</f>
        <v>-116774.8</v>
      </c>
    </row>
    <row r="104" spans="1:9" x14ac:dyDescent="0.2">
      <c r="E104" s="39"/>
    </row>
    <row r="105" spans="1:9" x14ac:dyDescent="0.2">
      <c r="E105" s="39"/>
    </row>
    <row r="106" spans="1:9" ht="13.5" thickBot="1" x14ac:dyDescent="0.25">
      <c r="E106" s="39"/>
    </row>
    <row r="107" spans="1:9" ht="13.5" thickTop="1" x14ac:dyDescent="0.2">
      <c r="A107" s="8" t="s">
        <v>83</v>
      </c>
      <c r="C107" s="24">
        <f>C90+C96+C103</f>
        <v>-16791</v>
      </c>
      <c r="D107" s="24">
        <f>D90+D96+D103</f>
        <v>7618</v>
      </c>
      <c r="E107" s="47">
        <f>E90+E96+E103</f>
        <v>12517</v>
      </c>
      <c r="F107" s="24">
        <f>F90+F96+F103</f>
        <v>13579.666314000002</v>
      </c>
      <c r="G107" s="24">
        <f>G90+G96+G103</f>
        <v>25022.737045933725</v>
      </c>
      <c r="H107" s="24">
        <f>H90+H96+H103</f>
        <v>34429.001542715545</v>
      </c>
      <c r="I107" s="24">
        <f>I90+I96+I103</f>
        <v>43617.759580604863</v>
      </c>
    </row>
    <row r="108" spans="1:9" x14ac:dyDescent="0.2">
      <c r="E108" s="39"/>
    </row>
    <row r="109" spans="1:9" x14ac:dyDescent="0.2">
      <c r="A109" s="8" t="s">
        <v>84</v>
      </c>
      <c r="C109" s="22">
        <f>C90+C93</f>
        <v>106858</v>
      </c>
      <c r="D109" s="22">
        <f>D90+D93</f>
        <v>97464</v>
      </c>
      <c r="E109" s="49">
        <f>E90+E93</f>
        <v>123883</v>
      </c>
      <c r="F109" s="22">
        <f>F90+F93</f>
        <v>127966.666314</v>
      </c>
      <c r="G109" s="22">
        <f>G90+G93</f>
        <v>140698.73704593373</v>
      </c>
      <c r="H109" s="22">
        <f>H90+H93</f>
        <v>150312.20154271554</v>
      </c>
      <c r="I109" s="22">
        <f>I90+I93</f>
        <v>160692.55958060487</v>
      </c>
    </row>
    <row r="110" spans="1:9" x14ac:dyDescent="0.2">
      <c r="A110" s="2" t="s">
        <v>85</v>
      </c>
      <c r="C110" s="21">
        <f>C109/C25</f>
        <v>0.27098760422795237</v>
      </c>
      <c r="D110" s="21">
        <f>D109/D25</f>
        <v>0.25428597518817592</v>
      </c>
      <c r="E110" s="45">
        <f>E109/E25</f>
        <v>0.31680795836689812</v>
      </c>
      <c r="F110" s="21">
        <f>F109/F25</f>
        <v>0.31315902671985152</v>
      </c>
      <c r="G110" s="21">
        <f>G109/G25</f>
        <v>0.32029474494045324</v>
      </c>
      <c r="H110" s="21">
        <f>H109/H25</f>
        <v>0.32129520346901458</v>
      </c>
      <c r="I110" s="21">
        <f>I109/I25</f>
        <v>0.32404095958285095</v>
      </c>
    </row>
  </sheetData>
  <conditionalFormatting sqref="C81:I81">
    <cfRule type="cellIs" dxfId="1" priority="1" operator="equal">
      <formula>0</formula>
    </cfRule>
  </conditionalFormatting>
  <conditionalFormatting sqref="C81:I81">
    <cfRule type="cellIs" dxfId="0" priority="2" operator="not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B57F-3528-4F21-BE9A-5E8785642F7A}">
  <sheetPr>
    <tabColor rgb="FF4472C4"/>
  </sheetPr>
  <dimension ref="A1:I29"/>
  <sheetViews>
    <sheetView workbookViewId="0">
      <selection activeCell="F24" sqref="F24"/>
    </sheetView>
  </sheetViews>
  <sheetFormatPr defaultRowHeight="12.75" x14ac:dyDescent="0.2"/>
  <cols>
    <col min="1" max="1" width="53.28515625" customWidth="1"/>
    <col min="2" max="2" width="1.85546875" customWidth="1"/>
    <col min="3" max="9" width="19" customWidth="1"/>
  </cols>
  <sheetData>
    <row r="1" spans="1:9" ht="18" x14ac:dyDescent="0.25">
      <c r="A1" s="1" t="s">
        <v>86</v>
      </c>
    </row>
    <row r="3" spans="1:9" x14ac:dyDescent="0.2">
      <c r="A3" s="3"/>
      <c r="B3" s="3"/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" x14ac:dyDescent="0.25">
      <c r="A4" s="19" t="s">
        <v>87</v>
      </c>
      <c r="B4" s="3"/>
      <c r="C4" s="3"/>
      <c r="D4" s="3"/>
      <c r="E4" s="3"/>
      <c r="F4" s="3"/>
      <c r="G4" s="3"/>
      <c r="H4" s="3"/>
      <c r="I4" s="3"/>
    </row>
    <row r="5" spans="1:9" x14ac:dyDescent="0.2">
      <c r="A5" s="7" t="s">
        <v>88</v>
      </c>
      <c r="C5" s="20">
        <v>39440</v>
      </c>
      <c r="D5" s="20">
        <f>Model!C62</f>
        <v>42117</v>
      </c>
      <c r="E5" s="20">
        <f>Model!D62</f>
        <v>43715</v>
      </c>
      <c r="F5" s="20">
        <f>Model!E62</f>
        <v>44856</v>
      </c>
      <c r="G5" s="20">
        <f>Model!F62</f>
        <v>44056</v>
      </c>
      <c r="H5" s="20">
        <f>Model!G62</f>
        <v>44356</v>
      </c>
      <c r="I5" s="20">
        <f>Model!H62</f>
        <v>45256</v>
      </c>
    </row>
    <row r="6" spans="1:9" x14ac:dyDescent="0.2">
      <c r="A6" s="7" t="s">
        <v>89</v>
      </c>
      <c r="C6" s="20">
        <f>-Model!C17</f>
        <v>10708</v>
      </c>
      <c r="D6" s="20">
        <f>-Model!D17</f>
        <v>10959</v>
      </c>
      <c r="E6" s="20">
        <f>-Model!E17</f>
        <v>9959</v>
      </c>
      <c r="F6" s="20">
        <f>-Model!F17</f>
        <v>11000</v>
      </c>
      <c r="G6" s="20">
        <f>-Model!G17</f>
        <v>12500</v>
      </c>
      <c r="H6" s="20">
        <f>-Model!H17</f>
        <v>13500</v>
      </c>
      <c r="I6" s="20">
        <f>-Model!I17</f>
        <v>14000</v>
      </c>
    </row>
    <row r="7" spans="1:9" x14ac:dyDescent="0.2">
      <c r="A7" s="7" t="s">
        <v>90</v>
      </c>
      <c r="C7" s="20">
        <f>-Model!C16</f>
        <v>-11104</v>
      </c>
      <c r="D7" s="20">
        <f>-Model!D16</f>
        <v>-11519</v>
      </c>
      <c r="E7" s="20">
        <f>-Model!E16</f>
        <v>-11445</v>
      </c>
      <c r="F7" s="20">
        <f>-Model!F16</f>
        <v>-11800</v>
      </c>
      <c r="G7" s="20">
        <f>-Model!G16</f>
        <v>-12200</v>
      </c>
      <c r="H7" s="20">
        <f>-Model!H16</f>
        <v>-12600</v>
      </c>
      <c r="I7" s="20">
        <f>-Model!I16</f>
        <v>-13000</v>
      </c>
    </row>
    <row r="8" spans="1:9" ht="13.5" thickBot="1" x14ac:dyDescent="0.25">
      <c r="A8" s="7" t="s">
        <v>91</v>
      </c>
      <c r="C8" s="20">
        <f>Model!C62-C5-C6-C7</f>
        <v>3073</v>
      </c>
      <c r="D8" s="20">
        <f>Model!D62-D5-D6-D7</f>
        <v>2158</v>
      </c>
      <c r="E8" s="20">
        <f>Model!E62-E5-E6-E7</f>
        <v>2627</v>
      </c>
      <c r="F8" s="20">
        <v>0</v>
      </c>
      <c r="G8" s="20">
        <v>0</v>
      </c>
      <c r="H8" s="20">
        <v>0</v>
      </c>
      <c r="I8" s="20">
        <v>0</v>
      </c>
    </row>
    <row r="9" spans="1:9" ht="13.5" thickTop="1" x14ac:dyDescent="0.2">
      <c r="A9" s="8" t="s">
        <v>92</v>
      </c>
      <c r="C9" s="24">
        <f>SUM(C5:C8)</f>
        <v>42117</v>
      </c>
      <c r="D9" s="24">
        <f>SUM(D5:D8)</f>
        <v>43715</v>
      </c>
      <c r="E9" s="24">
        <f>SUM(E5:E8)</f>
        <v>44856</v>
      </c>
      <c r="F9" s="24">
        <f>SUM(F5:F8)</f>
        <v>44056</v>
      </c>
      <c r="G9" s="30">
        <f>SUM(G5:G8)</f>
        <v>44356</v>
      </c>
      <c r="H9" s="30">
        <f>SUM(H5:H8)</f>
        <v>45256</v>
      </c>
      <c r="I9" s="30">
        <f>SUM(I5:I8)</f>
        <v>46256</v>
      </c>
    </row>
    <row r="10" spans="1:9" x14ac:dyDescent="0.2">
      <c r="A10" s="28" t="s">
        <v>93</v>
      </c>
      <c r="C10" s="31">
        <f>C9-Model!C62</f>
        <v>0</v>
      </c>
      <c r="D10" s="31">
        <f>D9-Model!D62</f>
        <v>0</v>
      </c>
      <c r="E10" s="31">
        <f>E9-Model!E62</f>
        <v>0</v>
      </c>
      <c r="F10" s="31">
        <f>F9-Model!F62</f>
        <v>0</v>
      </c>
      <c r="G10" s="31">
        <f>G9-Model!G62</f>
        <v>0</v>
      </c>
      <c r="H10" s="31">
        <f>H9-Model!H62</f>
        <v>0</v>
      </c>
      <c r="I10" s="31">
        <f>I9-Model!I62</f>
        <v>0</v>
      </c>
    </row>
    <row r="11" spans="1:9" x14ac:dyDescent="0.2">
      <c r="A11" s="2" t="s">
        <v>94</v>
      </c>
      <c r="C11" s="21">
        <f>-Model!C17/Model!C25</f>
        <v>2.7155058732831552E-2</v>
      </c>
      <c r="D11" s="21">
        <f>-Model!D17/Model!D25</f>
        <v>2.859230076835775E-2</v>
      </c>
      <c r="E11" s="21">
        <f>-Model!E17/Model!E25</f>
        <v>2.5468308463436777E-2</v>
      </c>
      <c r="F11" s="21">
        <f>-Model!F17/Model!F25</f>
        <v>2.6919114118873464E-2</v>
      </c>
      <c r="G11" s="21">
        <f>-Model!G17/Model!G25</f>
        <v>2.845572317005652E-2</v>
      </c>
      <c r="H11" s="21">
        <f>-Model!H17/Model!H25</f>
        <v>2.88565080034376E-2</v>
      </c>
      <c r="I11" s="21">
        <f>-Model!I17/Model!I25</f>
        <v>2.8231384489736291E-2</v>
      </c>
    </row>
    <row r="13" spans="1:9" ht="15" x14ac:dyDescent="0.25">
      <c r="A13" s="19" t="s">
        <v>95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7" t="s">
        <v>96</v>
      </c>
      <c r="C14" s="20">
        <v>109106</v>
      </c>
      <c r="D14" s="20">
        <f>Model!C73</f>
        <v>98959</v>
      </c>
      <c r="E14" s="20">
        <f>Model!D73</f>
        <v>95281</v>
      </c>
      <c r="F14" s="20">
        <f>Model!E73</f>
        <v>96800</v>
      </c>
      <c r="G14" s="20">
        <f>Model!F73</f>
        <v>92000</v>
      </c>
      <c r="H14" s="20">
        <f>Model!G73</f>
        <v>87000</v>
      </c>
      <c r="I14" s="20">
        <f>Model!H73</f>
        <v>82000</v>
      </c>
    </row>
    <row r="15" spans="1:9" ht="13.5" thickBot="1" x14ac:dyDescent="0.25">
      <c r="A15" s="7" t="s">
        <v>97</v>
      </c>
      <c r="C15" s="20">
        <f>Model!C73-C14</f>
        <v>-10147</v>
      </c>
      <c r="D15" s="20">
        <f>Model!D73-D14</f>
        <v>-3678</v>
      </c>
      <c r="E15" s="20">
        <f>Model!E73-E14</f>
        <v>1519</v>
      </c>
      <c r="F15" s="20">
        <f>Model!F73-F14</f>
        <v>-4800</v>
      </c>
      <c r="G15" s="20">
        <f>Model!G73-G14</f>
        <v>-5000</v>
      </c>
      <c r="H15" s="20">
        <f>Model!H73-H14</f>
        <v>-5000</v>
      </c>
      <c r="I15" s="20">
        <f>Model!I73-I14</f>
        <v>-5000</v>
      </c>
    </row>
    <row r="16" spans="1:9" ht="13.5" thickTop="1" x14ac:dyDescent="0.2">
      <c r="A16" s="8" t="s">
        <v>98</v>
      </c>
      <c r="C16" s="24">
        <f>Model!C73</f>
        <v>98959</v>
      </c>
      <c r="D16" s="24">
        <f>Model!D73</f>
        <v>95281</v>
      </c>
      <c r="E16" s="24">
        <f>Model!E73</f>
        <v>96800</v>
      </c>
      <c r="F16" s="24">
        <f>Model!F73</f>
        <v>92000</v>
      </c>
      <c r="G16" s="24">
        <f>Model!G73</f>
        <v>87000</v>
      </c>
      <c r="H16" s="24">
        <f>Model!H73</f>
        <v>82000</v>
      </c>
      <c r="I16" s="24">
        <f>Model!I73</f>
        <v>77000</v>
      </c>
    </row>
    <row r="18" spans="1:9" x14ac:dyDescent="0.2">
      <c r="A18" s="8" t="s">
        <v>99</v>
      </c>
      <c r="C18" s="22">
        <f>Model!C73-Model!C55-Model!C56</f>
        <v>50655</v>
      </c>
      <c r="D18" s="22">
        <f>Model!D73-Model!D55-Model!D56</f>
        <v>33726</v>
      </c>
      <c r="E18" s="22">
        <f>Model!E73-Model!E55-Model!E56</f>
        <v>31629</v>
      </c>
      <c r="F18" s="22">
        <f>Model!F73-Model!F55-Model!F56</f>
        <v>12477.333685999998</v>
      </c>
      <c r="G18" s="22">
        <f>Model!G73-Model!G55-Model!G56</f>
        <v>-18545.403359933727</v>
      </c>
      <c r="H18" s="22">
        <f>Model!H73-Model!H55-Model!H56</f>
        <v>-58974.404902649272</v>
      </c>
      <c r="I18" s="22">
        <f>Model!I73-Model!I55-Model!I56</f>
        <v>-108592.16448325414</v>
      </c>
    </row>
    <row r="19" spans="1:9" x14ac:dyDescent="0.2">
      <c r="A19" s="2" t="s">
        <v>100</v>
      </c>
      <c r="C19" s="32">
        <f>C18/Model!C50</f>
        <v>0.38803900690204612</v>
      </c>
      <c r="D19" s="32">
        <f>D18/Model!D50</f>
        <v>0.26804959465903672</v>
      </c>
      <c r="E19" s="32">
        <f>E18/Model!E50</f>
        <v>0.2349641933854337</v>
      </c>
      <c r="F19" s="32">
        <f>F18/Model!F50</f>
        <v>8.8026721898146587E-2</v>
      </c>
      <c r="G19" s="32">
        <f>G18/Model!G50</f>
        <v>-0.12035662638142669</v>
      </c>
      <c r="H19" s="32">
        <f>H18/Model!H50</f>
        <v>-0.35717546996050392</v>
      </c>
      <c r="I19" s="32">
        <f>I18/Model!I50</f>
        <v>-0.61301784542251359</v>
      </c>
    </row>
    <row r="21" spans="1:9" ht="15" x14ac:dyDescent="0.25">
      <c r="A21" s="19" t="s">
        <v>101</v>
      </c>
      <c r="B21" s="3"/>
      <c r="C21" s="3"/>
      <c r="D21" s="3"/>
      <c r="E21" s="3"/>
      <c r="F21" s="3"/>
      <c r="G21" s="3"/>
      <c r="H21" s="3"/>
      <c r="I21" s="3"/>
    </row>
    <row r="22" spans="1:9" x14ac:dyDescent="0.2">
      <c r="A22" s="7" t="s">
        <v>102</v>
      </c>
      <c r="C22" s="20">
        <v>63090</v>
      </c>
      <c r="D22" s="20">
        <f>Model!C77</f>
        <v>50672</v>
      </c>
      <c r="E22" s="20">
        <f>Model!D77</f>
        <v>62146</v>
      </c>
      <c r="F22" s="20">
        <f>Model!E77</f>
        <v>56950</v>
      </c>
      <c r="G22" s="20">
        <f>Model!F77</f>
        <v>70909.666314000031</v>
      </c>
      <c r="H22" s="20">
        <f>Model!G77</f>
        <v>95539.403359933756</v>
      </c>
      <c r="I22" s="20">
        <f>Model!H77</f>
        <v>130283.40490264929</v>
      </c>
    </row>
    <row r="23" spans="1:9" x14ac:dyDescent="0.2">
      <c r="A23" s="7" t="s">
        <v>103</v>
      </c>
      <c r="C23" s="20">
        <f>Model!C44</f>
        <v>99803</v>
      </c>
      <c r="D23" s="20">
        <f>Model!D44</f>
        <v>96995</v>
      </c>
      <c r="E23" s="20">
        <f>Model!E44</f>
        <v>93668</v>
      </c>
      <c r="F23" s="20">
        <f>Model!F44</f>
        <v>109573.666314</v>
      </c>
      <c r="G23" s="20">
        <f>Model!G44</f>
        <v>119805.73704593371</v>
      </c>
      <c r="H23" s="20">
        <f>Model!H44</f>
        <v>129127.20154271556</v>
      </c>
      <c r="I23" s="20">
        <f>Model!I44</f>
        <v>138912.55958060487</v>
      </c>
    </row>
    <row r="24" spans="1:9" x14ac:dyDescent="0.2">
      <c r="A24" s="7" t="s">
        <v>104</v>
      </c>
      <c r="C24" s="20">
        <f>-Model!C20*Model!C22</f>
        <v>-15019.92</v>
      </c>
      <c r="D24" s="20">
        <f>-Model!D20*Model!D22</f>
        <v>-15180.48</v>
      </c>
      <c r="E24" s="20">
        <f>-Model!E20*Model!E22</f>
        <v>-15408</v>
      </c>
      <c r="F24" s="20">
        <f>-Model!F20*Model!F22</f>
        <v>-15652</v>
      </c>
      <c r="G24" s="20">
        <f>-Model!G20*Model!G22</f>
        <v>-15876.000000000002</v>
      </c>
      <c r="H24" s="20">
        <f>-Model!H20*Model!H22</f>
        <v>-16083.2</v>
      </c>
      <c r="I24" s="20">
        <f>-Model!I20*Model!I22</f>
        <v>-16274.8</v>
      </c>
    </row>
    <row r="25" spans="1:9" x14ac:dyDescent="0.2">
      <c r="A25" s="7" t="s">
        <v>105</v>
      </c>
      <c r="C25" s="20">
        <f>Model!C21</f>
        <v>-89402</v>
      </c>
      <c r="D25" s="20">
        <f>Model!D21</f>
        <v>-77550</v>
      </c>
      <c r="E25" s="20">
        <f>Model!E21</f>
        <v>-94949</v>
      </c>
      <c r="F25" s="20">
        <f>Model!F21</f>
        <v>-90000</v>
      </c>
      <c r="G25" s="20">
        <f>Model!G21</f>
        <v>-90000</v>
      </c>
      <c r="H25" s="20">
        <f>Model!H21</f>
        <v>-90000</v>
      </c>
      <c r="I25" s="20">
        <f>Model!I21</f>
        <v>-90000</v>
      </c>
    </row>
    <row r="26" spans="1:9" x14ac:dyDescent="0.2">
      <c r="A26" s="7" t="s">
        <v>106</v>
      </c>
      <c r="C26" s="20">
        <f>Model!C18</f>
        <v>9038</v>
      </c>
      <c r="D26" s="20">
        <f>Model!D18</f>
        <v>10833</v>
      </c>
      <c r="E26" s="20">
        <f>Model!E18</f>
        <v>11688</v>
      </c>
      <c r="F26" s="20">
        <f>Model!F18</f>
        <v>12500</v>
      </c>
      <c r="G26" s="20">
        <f>Model!G18</f>
        <v>13500</v>
      </c>
      <c r="H26" s="20">
        <f>Model!H18</f>
        <v>14500</v>
      </c>
      <c r="I26" s="20">
        <f>Model!I18</f>
        <v>15500</v>
      </c>
    </row>
    <row r="27" spans="1:9" ht="13.5" thickBot="1" x14ac:dyDescent="0.25">
      <c r="A27" s="7" t="s">
        <v>107</v>
      </c>
      <c r="C27" s="20">
        <f>Model!C77-C22-C23-C24-C25-C26</f>
        <v>-16837.080000000002</v>
      </c>
      <c r="D27" s="20">
        <f>Model!D77-D22-D23-D24-D25-D26</f>
        <v>-3623.5200000000041</v>
      </c>
      <c r="E27" s="20">
        <f>Model!E77-E22-E23-E24-E25-E26</f>
        <v>-195</v>
      </c>
      <c r="F27" s="20">
        <f>Model!F77-F22-F23-F24-F25-F26</f>
        <v>-2461.9999999999709</v>
      </c>
      <c r="G27" s="20">
        <f>Model!G77-G22-G23-G24-G25-G26</f>
        <v>-2799.9999999999854</v>
      </c>
      <c r="H27" s="20">
        <f>Model!H77-H22-H23-H24-H25-H26</f>
        <v>-2800.0000000000291</v>
      </c>
      <c r="I27" s="20">
        <f>Model!I77-I22-I23-I24-I25-I26</f>
        <v>-2800.0000000000146</v>
      </c>
    </row>
    <row r="28" spans="1:9" ht="13.5" thickTop="1" x14ac:dyDescent="0.2">
      <c r="A28" s="8" t="s">
        <v>108</v>
      </c>
      <c r="C28" s="24">
        <f>SUM(C22:C27)</f>
        <v>50671.999999999985</v>
      </c>
      <c r="D28" s="24">
        <f>SUM(D22:D27)</f>
        <v>62145.999999999985</v>
      </c>
      <c r="E28" s="24">
        <f>SUM(E22:E27)</f>
        <v>56950</v>
      </c>
      <c r="F28" s="24">
        <f>SUM(F22:F27)</f>
        <v>70909.666314000031</v>
      </c>
      <c r="G28" s="30">
        <f>SUM(G22:G27)</f>
        <v>95539.403359933771</v>
      </c>
      <c r="H28" s="30">
        <f>SUM(H22:H27)</f>
        <v>130283.40490264926</v>
      </c>
      <c r="I28" s="30">
        <f>SUM(I22:I27)</f>
        <v>175621.16448325414</v>
      </c>
    </row>
    <row r="29" spans="1:9" x14ac:dyDescent="0.2">
      <c r="A29" s="28" t="s">
        <v>93</v>
      </c>
      <c r="C29" s="31">
        <f>C28-Model!C77</f>
        <v>0</v>
      </c>
      <c r="D29" s="31">
        <f>D28-Model!D77</f>
        <v>0</v>
      </c>
      <c r="E29" s="31">
        <f>E28-Model!E77</f>
        <v>0</v>
      </c>
      <c r="F29" s="31">
        <f>F28-Model!F77</f>
        <v>0</v>
      </c>
      <c r="G29" s="31">
        <f>G28-Model!G77</f>
        <v>0</v>
      </c>
      <c r="H29" s="31">
        <f>H28-Model!H77</f>
        <v>0</v>
      </c>
      <c r="I29" s="31">
        <f>I28-Model!I77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D41B-847E-4EA8-BB69-02F6FBB5562F}">
  <sheetPr>
    <tabColor rgb="FF70AD47"/>
  </sheetPr>
  <dimension ref="A1:D30"/>
  <sheetViews>
    <sheetView workbookViewId="0"/>
  </sheetViews>
  <sheetFormatPr defaultRowHeight="12.75" x14ac:dyDescent="0.2"/>
  <cols>
    <col min="1" max="1" width="43.85546875" customWidth="1"/>
    <col min="2" max="2" width="72.42578125" customWidth="1"/>
    <col min="3" max="3" width="38.140625" customWidth="1"/>
    <col min="4" max="4" width="66.7109375" customWidth="1"/>
  </cols>
  <sheetData>
    <row r="1" spans="1:4" ht="18" x14ac:dyDescent="0.25">
      <c r="A1" s="1" t="s">
        <v>109</v>
      </c>
    </row>
    <row r="2" spans="1:4" x14ac:dyDescent="0.2">
      <c r="A2" s="2" t="s">
        <v>110</v>
      </c>
    </row>
    <row r="4" spans="1:4" ht="15" x14ac:dyDescent="0.25">
      <c r="A4" s="19" t="s">
        <v>111</v>
      </c>
      <c r="B4" s="3"/>
      <c r="C4" s="3"/>
      <c r="D4" s="3"/>
    </row>
    <row r="5" spans="1:4" x14ac:dyDescent="0.2">
      <c r="A5" s="9" t="s">
        <v>112</v>
      </c>
      <c r="B5" s="9" t="s">
        <v>113</v>
      </c>
      <c r="C5" s="9" t="s">
        <v>114</v>
      </c>
      <c r="D5" s="9" t="s">
        <v>115</v>
      </c>
    </row>
    <row r="6" spans="1:4" x14ac:dyDescent="0.2">
      <c r="A6" s="8" t="s">
        <v>116</v>
      </c>
      <c r="B6" s="7" t="s">
        <v>117</v>
      </c>
      <c r="C6" s="7" t="s">
        <v>118</v>
      </c>
      <c r="D6" s="33" t="s">
        <v>119</v>
      </c>
    </row>
    <row r="7" spans="1:4" x14ac:dyDescent="0.2">
      <c r="A7" s="8" t="s">
        <v>120</v>
      </c>
      <c r="B7" s="7" t="s">
        <v>121</v>
      </c>
      <c r="C7" s="7" t="s">
        <v>122</v>
      </c>
      <c r="D7" s="33" t="s">
        <v>119</v>
      </c>
    </row>
    <row r="8" spans="1:4" x14ac:dyDescent="0.2">
      <c r="A8" s="8" t="s">
        <v>123</v>
      </c>
      <c r="B8" s="7" t="s">
        <v>124</v>
      </c>
      <c r="C8" s="7" t="s">
        <v>125</v>
      </c>
      <c r="D8" s="33" t="s">
        <v>126</v>
      </c>
    </row>
    <row r="9" spans="1:4" x14ac:dyDescent="0.2">
      <c r="A9" s="8" t="s">
        <v>127</v>
      </c>
      <c r="B9" s="7" t="s">
        <v>128</v>
      </c>
      <c r="C9" s="7" t="s">
        <v>129</v>
      </c>
      <c r="D9" s="33" t="s">
        <v>130</v>
      </c>
    </row>
    <row r="10" spans="1:4" x14ac:dyDescent="0.2">
      <c r="A10" s="8" t="s">
        <v>131</v>
      </c>
      <c r="B10" s="7" t="s">
        <v>132</v>
      </c>
      <c r="C10" s="7" t="s">
        <v>133</v>
      </c>
      <c r="D10" s="33" t="s">
        <v>134</v>
      </c>
    </row>
    <row r="11" spans="1:4" x14ac:dyDescent="0.2">
      <c r="A11" s="8" t="s">
        <v>135</v>
      </c>
      <c r="B11" s="7" t="s">
        <v>136</v>
      </c>
      <c r="C11" s="7" t="s">
        <v>137</v>
      </c>
      <c r="D11" s="33" t="s">
        <v>138</v>
      </c>
    </row>
    <row r="13" spans="1:4" ht="15" x14ac:dyDescent="0.25">
      <c r="A13" s="19" t="s">
        <v>139</v>
      </c>
      <c r="B13" s="3"/>
      <c r="C13" s="3"/>
      <c r="D13" s="3"/>
    </row>
    <row r="14" spans="1:4" x14ac:dyDescent="0.2">
      <c r="A14" s="9" t="s">
        <v>112</v>
      </c>
      <c r="B14" s="9" t="s">
        <v>113</v>
      </c>
      <c r="C14" s="9" t="s">
        <v>114</v>
      </c>
      <c r="D14" s="34" t="s">
        <v>115</v>
      </c>
    </row>
    <row r="15" spans="1:4" x14ac:dyDescent="0.2">
      <c r="A15" s="8" t="s">
        <v>140</v>
      </c>
      <c r="B15" s="7" t="s">
        <v>141</v>
      </c>
      <c r="C15" s="7" t="s">
        <v>142</v>
      </c>
      <c r="D15" s="33" t="s">
        <v>143</v>
      </c>
    </row>
    <row r="16" spans="1:4" x14ac:dyDescent="0.2">
      <c r="A16" s="8" t="s">
        <v>144</v>
      </c>
      <c r="B16" s="7" t="s">
        <v>145</v>
      </c>
      <c r="C16" s="7" t="s">
        <v>146</v>
      </c>
      <c r="D16" s="33" t="s">
        <v>147</v>
      </c>
    </row>
    <row r="17" spans="1:4" x14ac:dyDescent="0.2">
      <c r="A17" s="8" t="s">
        <v>148</v>
      </c>
      <c r="B17" s="7" t="s">
        <v>149</v>
      </c>
      <c r="C17" s="7" t="s">
        <v>150</v>
      </c>
      <c r="D17" s="33" t="s">
        <v>130</v>
      </c>
    </row>
    <row r="18" spans="1:4" x14ac:dyDescent="0.2">
      <c r="A18" s="8" t="s">
        <v>151</v>
      </c>
      <c r="B18" s="7" t="s">
        <v>152</v>
      </c>
      <c r="C18" s="7" t="s">
        <v>153</v>
      </c>
      <c r="D18" s="33" t="s">
        <v>154</v>
      </c>
    </row>
    <row r="19" spans="1:4" x14ac:dyDescent="0.2">
      <c r="A19" s="8" t="s">
        <v>155</v>
      </c>
      <c r="B19" s="7" t="s">
        <v>156</v>
      </c>
      <c r="C19" s="7" t="s">
        <v>157</v>
      </c>
      <c r="D19" s="33" t="s">
        <v>130</v>
      </c>
    </row>
    <row r="21" spans="1:4" ht="15" x14ac:dyDescent="0.25">
      <c r="A21" s="19" t="s">
        <v>158</v>
      </c>
      <c r="B21" s="3"/>
      <c r="C21" s="3"/>
      <c r="D21" s="3"/>
    </row>
    <row r="22" spans="1:4" x14ac:dyDescent="0.2">
      <c r="A22" s="9" t="s">
        <v>159</v>
      </c>
      <c r="B22" s="9" t="s">
        <v>160</v>
      </c>
      <c r="C22" s="9" t="s">
        <v>161</v>
      </c>
      <c r="D22" s="34" t="s">
        <v>162</v>
      </c>
    </row>
    <row r="23" spans="1:4" x14ac:dyDescent="0.2">
      <c r="A23" s="8" t="s">
        <v>163</v>
      </c>
      <c r="B23" s="7" t="s">
        <v>164</v>
      </c>
      <c r="C23" s="7" t="s">
        <v>165</v>
      </c>
      <c r="D23" s="7" t="s">
        <v>166</v>
      </c>
    </row>
    <row r="24" spans="1:4" x14ac:dyDescent="0.2">
      <c r="A24" s="8" t="s">
        <v>167</v>
      </c>
      <c r="B24" s="7" t="s">
        <v>168</v>
      </c>
      <c r="C24" s="7" t="s">
        <v>169</v>
      </c>
      <c r="D24" s="7" t="s">
        <v>170</v>
      </c>
    </row>
    <row r="25" spans="1:4" x14ac:dyDescent="0.2">
      <c r="A25" s="8" t="s">
        <v>171</v>
      </c>
      <c r="B25" s="7" t="s">
        <v>172</v>
      </c>
      <c r="C25" s="7" t="s">
        <v>173</v>
      </c>
      <c r="D25" s="7" t="s">
        <v>174</v>
      </c>
    </row>
    <row r="26" spans="1:4" x14ac:dyDescent="0.2">
      <c r="A26" s="8" t="s">
        <v>175</v>
      </c>
      <c r="B26" s="7" t="s">
        <v>176</v>
      </c>
      <c r="C26" s="7" t="s">
        <v>177</v>
      </c>
      <c r="D26" s="7" t="s">
        <v>178</v>
      </c>
    </row>
    <row r="27" spans="1:4" x14ac:dyDescent="0.2">
      <c r="A27" s="8" t="s">
        <v>73</v>
      </c>
      <c r="B27" s="7" t="s">
        <v>179</v>
      </c>
      <c r="C27" s="7" t="s">
        <v>180</v>
      </c>
      <c r="D27" s="7" t="s">
        <v>181</v>
      </c>
    </row>
    <row r="28" spans="1:4" x14ac:dyDescent="0.2">
      <c r="A28" s="8" t="s">
        <v>78</v>
      </c>
      <c r="B28" s="7" t="s">
        <v>182</v>
      </c>
      <c r="C28" s="7" t="s">
        <v>183</v>
      </c>
      <c r="D28" s="7" t="s">
        <v>184</v>
      </c>
    </row>
    <row r="29" spans="1:4" x14ac:dyDescent="0.2">
      <c r="A29" s="8" t="s">
        <v>185</v>
      </c>
      <c r="B29" s="7" t="s">
        <v>186</v>
      </c>
      <c r="C29" s="7" t="s">
        <v>187</v>
      </c>
      <c r="D29" s="7" t="s">
        <v>188</v>
      </c>
    </row>
    <row r="30" spans="1:4" x14ac:dyDescent="0.2">
      <c r="A30" s="8" t="s">
        <v>189</v>
      </c>
      <c r="B30" s="7" t="s">
        <v>190</v>
      </c>
      <c r="C30" s="7" t="s">
        <v>191</v>
      </c>
      <c r="D30" s="7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</vt:lpstr>
      <vt:lpstr>Schedules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 Street Prep</dc:creator>
  <cp:lastModifiedBy>Wall Street Prep</cp:lastModifiedBy>
  <dcterms:created xsi:type="dcterms:W3CDTF">2026-02-06T15:22:25Z</dcterms:created>
  <dcterms:modified xsi:type="dcterms:W3CDTF">2026-02-11T13:26:10Z</dcterms:modified>
</cp:coreProperties>
</file>