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feld\Wall Street Prep Dropbox\Matan Feldman\Marketing\AI Tools Ranking\"/>
    </mc:Choice>
  </mc:AlternateContent>
  <xr:revisionPtr revIDLastSave="0" documentId="8_{2FECDAF3-E878-4378-ACCF-A27ED9609CB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Model" sheetId="1" r:id="rId1"/>
    <sheet name="Support_PPE" sheetId="2" r:id="rId2"/>
    <sheet name="Support_WC" sheetId="3" r:id="rId3"/>
    <sheet name="Support_Equity" sheetId="4" r:id="rId4"/>
    <sheet name="Sources" sheetId="5" r:id="rId5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" l="1"/>
  <c r="H80" i="1"/>
  <c r="D11" i="4"/>
  <c r="C11" i="4"/>
  <c r="B11" i="4"/>
  <c r="H6" i="4"/>
  <c r="G6" i="4"/>
  <c r="F6" i="4"/>
  <c r="E6" i="4"/>
  <c r="D19" i="3"/>
  <c r="C19" i="3"/>
  <c r="B19" i="3"/>
  <c r="D18" i="3"/>
  <c r="C18" i="3"/>
  <c r="B18" i="3"/>
  <c r="D17" i="3"/>
  <c r="C17" i="3"/>
  <c r="B17" i="3"/>
  <c r="D15" i="3"/>
  <c r="C15" i="3"/>
  <c r="B15" i="3"/>
  <c r="D12" i="2"/>
  <c r="C12" i="2"/>
  <c r="B12" i="2"/>
  <c r="H11" i="2"/>
  <c r="G11" i="2"/>
  <c r="F11" i="2"/>
  <c r="E11" i="2"/>
  <c r="H7" i="2"/>
  <c r="G7" i="2"/>
  <c r="F7" i="2"/>
  <c r="E7" i="2"/>
  <c r="E6" i="2"/>
  <c r="B6" i="2"/>
  <c r="D127" i="1"/>
  <c r="C127" i="1"/>
  <c r="B127" i="1"/>
  <c r="D126" i="1"/>
  <c r="C126" i="1"/>
  <c r="B126" i="1"/>
  <c r="H125" i="1"/>
  <c r="G125" i="1"/>
  <c r="F125" i="1"/>
  <c r="E125" i="1"/>
  <c r="H124" i="1"/>
  <c r="H126" i="1" s="1"/>
  <c r="G124" i="1"/>
  <c r="G126" i="1" s="1"/>
  <c r="F124" i="1"/>
  <c r="F126" i="1" s="1"/>
  <c r="E124" i="1"/>
  <c r="E126" i="1" s="1"/>
  <c r="G92" i="1"/>
  <c r="F92" i="1"/>
  <c r="E92" i="1"/>
  <c r="H91" i="1"/>
  <c r="H85" i="1"/>
  <c r="H82" i="1"/>
  <c r="G82" i="1"/>
  <c r="F82" i="1"/>
  <c r="E82" i="1"/>
  <c r="D79" i="1"/>
  <c r="C79" i="1"/>
  <c r="B79" i="1"/>
  <c r="H68" i="1"/>
  <c r="G68" i="1"/>
  <c r="F68" i="1"/>
  <c r="E68" i="1"/>
  <c r="E66" i="1"/>
  <c r="E93" i="1" s="1"/>
  <c r="H61" i="1"/>
  <c r="H8" i="4" s="1"/>
  <c r="H87" i="1" s="1"/>
  <c r="G61" i="1"/>
  <c r="G8" i="4" s="1"/>
  <c r="G87" i="1" s="1"/>
  <c r="F61" i="1"/>
  <c r="F8" i="4" s="1"/>
  <c r="F87" i="1" s="1"/>
  <c r="E61" i="1"/>
  <c r="E8" i="4" s="1"/>
  <c r="E87" i="1" s="1"/>
  <c r="H59" i="1"/>
  <c r="G59" i="1"/>
  <c r="F59" i="1"/>
  <c r="H55" i="1"/>
  <c r="H56" i="1" s="1"/>
  <c r="G55" i="1"/>
  <c r="G56" i="1" s="1"/>
  <c r="F55" i="1"/>
  <c r="F56" i="1" s="1"/>
  <c r="E55" i="1"/>
  <c r="E56" i="1" s="1"/>
  <c r="H46" i="1"/>
  <c r="G46" i="1"/>
  <c r="F46" i="1"/>
  <c r="E46" i="1"/>
  <c r="H45" i="1"/>
  <c r="G45" i="1"/>
  <c r="F45" i="1"/>
  <c r="E45" i="1"/>
  <c r="E8" i="2" l="1"/>
  <c r="E12" i="2" s="1"/>
  <c r="E69" i="1" s="1"/>
  <c r="E9" i="2"/>
  <c r="H92" i="1"/>
  <c r="E98" i="1"/>
  <c r="F66" i="1"/>
  <c r="F93" i="1" s="1"/>
  <c r="H63" i="1"/>
  <c r="H57" i="1"/>
  <c r="G63" i="1"/>
  <c r="G57" i="1"/>
  <c r="F57" i="1"/>
  <c r="F63" i="1"/>
  <c r="E63" i="1"/>
  <c r="E57" i="1"/>
  <c r="H11" i="3"/>
  <c r="H12" i="3"/>
  <c r="H9" i="3"/>
  <c r="H8" i="3"/>
  <c r="H7" i="3"/>
  <c r="H6" i="3"/>
  <c r="H118" i="1"/>
  <c r="H117" i="1"/>
  <c r="H50" i="1"/>
  <c r="H70" i="1"/>
  <c r="H106" i="1"/>
  <c r="H99" i="1"/>
  <c r="H13" i="3"/>
  <c r="H44" i="1"/>
  <c r="G13" i="3"/>
  <c r="G9" i="3"/>
  <c r="G7" i="3"/>
  <c r="G8" i="3"/>
  <c r="G50" i="1"/>
  <c r="G6" i="3"/>
  <c r="G117" i="1"/>
  <c r="G99" i="1"/>
  <c r="G70" i="1"/>
  <c r="G44" i="1"/>
  <c r="G118" i="1"/>
  <c r="G11" i="3"/>
  <c r="G12" i="3"/>
  <c r="G106" i="1"/>
  <c r="F8" i="3"/>
  <c r="F50" i="1"/>
  <c r="F117" i="1"/>
  <c r="F44" i="1"/>
  <c r="F7" i="3"/>
  <c r="F6" i="3"/>
  <c r="F99" i="1"/>
  <c r="F12" i="3"/>
  <c r="F11" i="3"/>
  <c r="F13" i="3"/>
  <c r="F118" i="1"/>
  <c r="F70" i="1"/>
  <c r="F106" i="1"/>
  <c r="F9" i="3"/>
  <c r="E12" i="3"/>
  <c r="E11" i="3"/>
  <c r="E9" i="3"/>
  <c r="E13" i="3"/>
  <c r="E6" i="3"/>
  <c r="E118" i="1"/>
  <c r="E70" i="1"/>
  <c r="E50" i="1"/>
  <c r="E44" i="1"/>
  <c r="E99" i="1"/>
  <c r="E7" i="3"/>
  <c r="E117" i="1"/>
  <c r="E106" i="1"/>
  <c r="E8" i="3"/>
  <c r="H11" i="4"/>
  <c r="H88" i="1" s="1"/>
  <c r="H89" i="1" s="1"/>
  <c r="G11" i="4"/>
  <c r="G88" i="1" s="1"/>
  <c r="G89" i="1" s="1"/>
  <c r="F11" i="4"/>
  <c r="F88" i="1" s="1"/>
  <c r="F89" i="1" s="1"/>
  <c r="E11" i="4"/>
  <c r="E88" i="1" s="1"/>
  <c r="E89" i="1" s="1"/>
  <c r="E107" i="1" l="1"/>
  <c r="F6" i="2"/>
  <c r="E127" i="1"/>
  <c r="F98" i="1"/>
  <c r="G66" i="1"/>
  <c r="G93" i="1" s="1"/>
  <c r="H76" i="1"/>
  <c r="H19" i="3"/>
  <c r="H114" i="1"/>
  <c r="H77" i="1"/>
  <c r="H115" i="1"/>
  <c r="H103" i="1"/>
  <c r="H75" i="1"/>
  <c r="H18" i="3"/>
  <c r="H102" i="1"/>
  <c r="H74" i="1"/>
  <c r="H73" i="1"/>
  <c r="H101" i="1"/>
  <c r="H72" i="1"/>
  <c r="H100" i="1"/>
  <c r="H15" i="3"/>
  <c r="H17" i="3"/>
  <c r="H49" i="1"/>
  <c r="H48" i="1"/>
  <c r="H78" i="1"/>
  <c r="H116" i="1"/>
  <c r="G78" i="1"/>
  <c r="G116" i="1"/>
  <c r="G75" i="1"/>
  <c r="G103" i="1"/>
  <c r="G73" i="1"/>
  <c r="G101" i="1"/>
  <c r="G18" i="3"/>
  <c r="G74" i="1"/>
  <c r="G102" i="1"/>
  <c r="G48" i="1"/>
  <c r="G49" i="1"/>
  <c r="G17" i="3"/>
  <c r="G15" i="3"/>
  <c r="G72" i="1"/>
  <c r="G100" i="1"/>
  <c r="G76" i="1"/>
  <c r="G114" i="1"/>
  <c r="G19" i="3"/>
  <c r="G77" i="1"/>
  <c r="G115" i="1"/>
  <c r="F18" i="3"/>
  <c r="F74" i="1"/>
  <c r="F102" i="1"/>
  <c r="F48" i="1"/>
  <c r="F49" i="1"/>
  <c r="F73" i="1"/>
  <c r="F101" i="1"/>
  <c r="F17" i="3"/>
  <c r="F72" i="1"/>
  <c r="F100" i="1"/>
  <c r="F15" i="3"/>
  <c r="F77" i="1"/>
  <c r="F115" i="1"/>
  <c r="F19" i="3"/>
  <c r="F76" i="1"/>
  <c r="F114" i="1"/>
  <c r="F116" i="1"/>
  <c r="F78" i="1"/>
  <c r="F103" i="1"/>
  <c r="F75" i="1"/>
  <c r="E77" i="1"/>
  <c r="E115" i="1"/>
  <c r="E19" i="3"/>
  <c r="E76" i="1"/>
  <c r="E114" i="1"/>
  <c r="E75" i="1"/>
  <c r="E103" i="1"/>
  <c r="E78" i="1"/>
  <c r="E116" i="1"/>
  <c r="E100" i="1"/>
  <c r="E72" i="1"/>
  <c r="E17" i="3"/>
  <c r="E15" i="3"/>
  <c r="E48" i="1"/>
  <c r="E49" i="1"/>
  <c r="E101" i="1"/>
  <c r="E73" i="1"/>
  <c r="E102" i="1"/>
  <c r="E74" i="1"/>
  <c r="E18" i="3"/>
  <c r="F83" i="1"/>
  <c r="F84" i="1" s="1"/>
  <c r="H83" i="1"/>
  <c r="H84" i="1" s="1"/>
  <c r="E83" i="1"/>
  <c r="E84" i="1" s="1"/>
  <c r="E121" i="1"/>
  <c r="G83" i="1"/>
  <c r="G84" i="1" s="1"/>
  <c r="F8" i="2" l="1"/>
  <c r="F12" i="2" s="1"/>
  <c r="F69" i="1" s="1"/>
  <c r="F79" i="1" s="1"/>
  <c r="F9" i="2"/>
  <c r="F104" i="1"/>
  <c r="F127" i="1"/>
  <c r="G98" i="1"/>
  <c r="H66" i="1"/>
  <c r="H93" i="1" s="1"/>
  <c r="H98" i="1" s="1"/>
  <c r="H119" i="1"/>
  <c r="G119" i="1"/>
  <c r="F119" i="1"/>
  <c r="E119" i="1"/>
  <c r="E122" i="1"/>
  <c r="E123" i="1" s="1"/>
  <c r="F121" i="1"/>
  <c r="F122" i="1" s="1"/>
  <c r="E79" i="1"/>
  <c r="E104" i="1"/>
  <c r="E108" i="1"/>
  <c r="E109" i="1" s="1"/>
  <c r="F107" i="1" l="1"/>
  <c r="G6" i="2"/>
  <c r="G104" i="1"/>
  <c r="G127" i="1"/>
  <c r="H104" i="1"/>
  <c r="H127" i="1"/>
  <c r="G121" i="1"/>
  <c r="F123" i="1"/>
  <c r="F108" i="1" l="1"/>
  <c r="F109" i="1"/>
  <c r="G8" i="2"/>
  <c r="G12" i="2" s="1"/>
  <c r="G69" i="1" s="1"/>
  <c r="G79" i="1" s="1"/>
  <c r="G9" i="2"/>
  <c r="G122" i="1"/>
  <c r="G123" i="1" s="1"/>
  <c r="H121" i="1"/>
  <c r="G107" i="1" l="1"/>
  <c r="H6" i="2"/>
  <c r="H122" i="1"/>
  <c r="H123" i="1" s="1"/>
  <c r="G108" i="1" l="1"/>
  <c r="G109" i="1"/>
  <c r="H8" i="2"/>
  <c r="H12" i="2" l="1"/>
  <c r="H69" i="1" s="1"/>
  <c r="H79" i="1" s="1"/>
  <c r="H9" i="2"/>
  <c r="H107" i="1" s="1"/>
  <c r="H108" i="1" l="1"/>
  <c r="H10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Sources</author>
  </authors>
  <commentList>
    <comment ref="B4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Source: Apple FY2025 Q4 press release (8-K Ex 99.1). https://www.sec.gov/Archives/edgar/data/320193/000032019325000077/a8-kex991q4202509272025.htm</t>
        </r>
      </text>
    </comment>
    <comment ref="E6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F6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G6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H6" authorId="0" shapeId="0" xr:uid="{00000000-0006-0000-0000-000005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E7" authorId="0" shapeId="0" xr:uid="{00000000-0006-0000-0000-000006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F7" authorId="0" shapeId="0" xr:uid="{00000000-0006-0000-0000-000007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G7" authorId="0" shapeId="0" xr:uid="{00000000-0006-0000-0000-000008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H7" authorId="0" shapeId="0" xr:uid="{00000000-0006-0000-0000-000009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E8" authorId="0" shapeId="0" xr:uid="{00000000-0006-0000-0000-00000A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F8" authorId="0" shapeId="0" xr:uid="{00000000-0006-0000-0000-00000B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G8" authorId="0" shapeId="0" xr:uid="{00000000-0006-0000-0000-00000C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H8" authorId="0" shapeId="0" xr:uid="{00000000-0006-0000-0000-00000D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E9" authorId="0" shapeId="0" xr:uid="{00000000-0006-0000-0000-00000E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F9" authorId="0" shapeId="0" xr:uid="{00000000-0006-0000-0000-00000F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G9" authorId="0" shapeId="0" xr:uid="{00000000-0006-0000-0000-000010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H9" authorId="0" shapeId="0" xr:uid="{00000000-0006-0000-0000-000011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E10" authorId="0" shapeId="0" xr:uid="{00000000-0006-0000-0000-000012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F10" authorId="0" shapeId="0" xr:uid="{00000000-0006-0000-0000-000013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G10" authorId="0" shapeId="0" xr:uid="{00000000-0006-0000-0000-000014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H10" authorId="0" shapeId="0" xr:uid="{00000000-0006-0000-0000-000015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E11" authorId="0" shapeId="0" xr:uid="{00000000-0006-0000-0000-000016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F11" authorId="0" shapeId="0" xr:uid="{00000000-0006-0000-0000-000017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G11" authorId="0" shapeId="0" xr:uid="{00000000-0006-0000-0000-000018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H11" authorId="0" shapeId="0" xr:uid="{00000000-0006-0000-0000-000019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E12" authorId="0" shapeId="0" xr:uid="{00000000-0006-0000-0000-00001A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F12" authorId="0" shapeId="0" xr:uid="{00000000-0006-0000-0000-00001B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G12" authorId="0" shapeId="0" xr:uid="{00000000-0006-0000-0000-00001C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H12" authorId="0" shapeId="0" xr:uid="{00000000-0006-0000-0000-00001D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E13" authorId="0" shapeId="0" xr:uid="{00000000-0006-0000-0000-00001E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F13" authorId="0" shapeId="0" xr:uid="{00000000-0006-0000-0000-00001F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G13" authorId="0" shapeId="0" xr:uid="{00000000-0006-0000-0000-000020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H13" authorId="0" shapeId="0" xr:uid="{00000000-0006-0000-0000-000021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E14" authorId="0" shapeId="0" xr:uid="{00000000-0006-0000-0000-000022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F14" authorId="0" shapeId="0" xr:uid="{00000000-0006-0000-0000-000023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G14" authorId="0" shapeId="0" xr:uid="{00000000-0006-0000-0000-000024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H14" authorId="0" shapeId="0" xr:uid="{00000000-0006-0000-0000-000025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E15" authorId="0" shapeId="0" xr:uid="{00000000-0006-0000-0000-000026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F15" authorId="0" shapeId="0" xr:uid="{00000000-0006-0000-0000-000027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G15" authorId="0" shapeId="0" xr:uid="{00000000-0006-0000-0000-000028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H15" authorId="0" shapeId="0" xr:uid="{00000000-0006-0000-0000-000029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E16" authorId="0" shapeId="0" xr:uid="{00000000-0006-0000-0000-00002A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F16" authorId="0" shapeId="0" xr:uid="{00000000-0006-0000-0000-00002B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G16" authorId="0" shapeId="0" xr:uid="{00000000-0006-0000-0000-00002C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H16" authorId="0" shapeId="0" xr:uid="{00000000-0006-0000-0000-00002D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E17" authorId="0" shapeId="0" xr:uid="{00000000-0006-0000-0000-00002E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F17" authorId="0" shapeId="0" xr:uid="{00000000-0006-0000-0000-00002F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G17" authorId="0" shapeId="0" xr:uid="{00000000-0006-0000-0000-000030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E18" authorId="0" shapeId="0" xr:uid="{00000000-0006-0000-0000-000031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F18" authorId="0" shapeId="0" xr:uid="{00000000-0006-0000-0000-000032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G18" authorId="0" shapeId="0" xr:uid="{00000000-0006-0000-0000-000033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E19" authorId="0" shapeId="0" xr:uid="{00000000-0006-0000-0000-000034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F19" authorId="0" shapeId="0" xr:uid="{00000000-0006-0000-0000-000035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G19" authorId="0" shapeId="0" xr:uid="{00000000-0006-0000-0000-000036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E20" authorId="0" shapeId="0" xr:uid="{00000000-0006-0000-0000-000037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F20" authorId="0" shapeId="0" xr:uid="{00000000-0006-0000-0000-000038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G20" authorId="0" shapeId="0" xr:uid="{00000000-0006-0000-0000-000039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E21" authorId="0" shapeId="0" xr:uid="{00000000-0006-0000-0000-00003A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F21" authorId="0" shapeId="0" xr:uid="{00000000-0006-0000-0000-00003B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G21" authorId="0" shapeId="0" xr:uid="{00000000-0006-0000-0000-00003C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H21" authorId="0" shapeId="0" xr:uid="{00000000-0006-0000-0000-00003D000000}">
      <text>
        <r>
          <rPr>
            <sz val="11"/>
            <color theme="1"/>
            <rFont val="Calibri"/>
            <family val="2"/>
            <scheme val="minor"/>
          </rPr>
          <t>Source: MarketsInsider (FactSet consensus table): https://markets.businessinsider.com/stocks/aapl-stock (Apple Estimates).</t>
        </r>
      </text>
    </comment>
    <comment ref="B24" authorId="0" shapeId="0" xr:uid="{00000000-0006-0000-0000-00003E000000}">
      <text>
        <r>
          <rPr>
            <sz val="11"/>
            <color theme="1"/>
            <rFont val="Calibri"/>
            <family val="2"/>
            <scheme val="minor"/>
          </rPr>
          <t>Assumption basis: Based on FY2023–FY2025 Services / Total revenue (SEC 10-K).</t>
        </r>
      </text>
    </comment>
    <comment ref="B25" authorId="0" shapeId="0" xr:uid="{00000000-0006-0000-0000-00003F000000}">
      <text>
        <r>
          <rPr>
            <sz val="11"/>
            <color theme="1"/>
            <rFont val="Calibri"/>
            <family val="2"/>
            <scheme val="minor"/>
          </rPr>
          <t>Assumption basis: Based on FY2023–FY2025 average (SEC 10-K balance sheets).</t>
        </r>
      </text>
    </comment>
    <comment ref="B26" authorId="0" shapeId="0" xr:uid="{00000000-0006-0000-0000-000040000000}">
      <text>
        <r>
          <rPr>
            <sz val="11"/>
            <color theme="1"/>
            <rFont val="Calibri"/>
            <family val="2"/>
            <scheme val="minor"/>
          </rPr>
          <t>Assumption basis: Based on FY2023–FY2025 average (SEC 10-K balance sheets).</t>
        </r>
      </text>
    </comment>
    <comment ref="B27" authorId="0" shapeId="0" xr:uid="{00000000-0006-0000-0000-000041000000}">
      <text>
        <r>
          <rPr>
            <sz val="11"/>
            <color theme="1"/>
            <rFont val="Calibri"/>
            <family val="2"/>
            <scheme val="minor"/>
          </rPr>
          <t>Assumption basis: Based on FY2023–FY2025 average (SEC 10-K balance sheets).</t>
        </r>
      </text>
    </comment>
    <comment ref="B28" authorId="0" shapeId="0" xr:uid="{00000000-0006-0000-0000-000042000000}">
      <text>
        <r>
          <rPr>
            <sz val="11"/>
            <color theme="1"/>
            <rFont val="Calibri"/>
            <family val="2"/>
            <scheme val="minor"/>
          </rPr>
          <t>Assumption basis: Based on FY2023–FY2025 average (SEC 10-K balance sheets).</t>
        </r>
      </text>
    </comment>
    <comment ref="B29" authorId="0" shapeId="0" xr:uid="{00000000-0006-0000-0000-000043000000}">
      <text>
        <r>
          <rPr>
            <sz val="11"/>
            <color theme="1"/>
            <rFont val="Calibri"/>
            <family val="2"/>
            <scheme val="minor"/>
          </rPr>
          <t>Assumption basis: Based on FY2023–FY2025 average (SEC 10-K balance sheets).</t>
        </r>
      </text>
    </comment>
    <comment ref="B30" authorId="0" shapeId="0" xr:uid="{00000000-0006-0000-0000-000044000000}">
      <text>
        <r>
          <rPr>
            <sz val="11"/>
            <color theme="1"/>
            <rFont val="Calibri"/>
            <family val="2"/>
            <scheme val="minor"/>
          </rPr>
          <t>Assumption basis: Based on FY2023–FY2025 average (SEC 10-K balance sheets).</t>
        </r>
      </text>
    </comment>
    <comment ref="B31" authorId="0" shapeId="0" xr:uid="{00000000-0006-0000-0000-000045000000}">
      <text>
        <r>
          <rPr>
            <sz val="11"/>
            <color theme="1"/>
            <rFont val="Calibri"/>
            <family val="2"/>
            <scheme val="minor"/>
          </rPr>
          <t>Assumption basis: Based on FY2023–FY2025 average (SEC 10-K balance sheets).</t>
        </r>
      </text>
    </comment>
    <comment ref="B32" authorId="0" shapeId="0" xr:uid="{00000000-0006-0000-0000-000046000000}">
      <text>
        <r>
          <rPr>
            <sz val="11"/>
            <color theme="1"/>
            <rFont val="Calibri"/>
            <family val="2"/>
            <scheme val="minor"/>
          </rPr>
          <t>Assumption basis: Based on FY2023–FY2025 average (SEC 10-K balance sheets).</t>
        </r>
      </text>
    </comment>
    <comment ref="B33" authorId="0" shapeId="0" xr:uid="{00000000-0006-0000-0000-000047000000}">
      <text>
        <r>
          <rPr>
            <sz val="11"/>
            <color theme="1"/>
            <rFont val="Calibri"/>
            <family val="2"/>
            <scheme val="minor"/>
          </rPr>
          <t>Assumption basis: Based on FY2023–FY2025 average (SEC 10-K balance sheets).</t>
        </r>
      </text>
    </comment>
    <comment ref="B34" authorId="0" shapeId="0" xr:uid="{00000000-0006-0000-0000-000048000000}">
      <text>
        <r>
          <rPr>
            <sz val="11"/>
            <color theme="1"/>
            <rFont val="Calibri"/>
            <family val="2"/>
            <scheme val="minor"/>
          </rPr>
          <t>Assumption basis: Based on FY2023–FY2025 average (SEC 10-K balance sheets).</t>
        </r>
      </text>
    </comment>
    <comment ref="B35" authorId="0" shapeId="0" xr:uid="{00000000-0006-0000-0000-000049000000}">
      <text>
        <r>
          <rPr>
            <sz val="11"/>
            <color theme="1"/>
            <rFont val="Calibri"/>
            <family val="2"/>
            <scheme val="minor"/>
          </rPr>
          <t>Assumption basis: Based on FY2023–FY2025 average (SEC 10-K balance sheets).</t>
        </r>
      </text>
    </comment>
    <comment ref="B36" authorId="0" shapeId="0" xr:uid="{00000000-0006-0000-0000-00004A000000}">
      <text>
        <r>
          <rPr>
            <sz val="11"/>
            <color theme="1"/>
            <rFont val="Calibri"/>
            <family val="2"/>
            <scheme val="minor"/>
          </rPr>
          <t>Assumption basis: Based on FY2023–FY2025 average (SEC 10-K balance sheets).</t>
        </r>
      </text>
    </comment>
    <comment ref="B37" authorId="0" shapeId="0" xr:uid="{00000000-0006-0000-0000-00004B000000}">
      <text>
        <r>
          <rPr>
            <sz val="11"/>
            <color theme="1"/>
            <rFont val="Calibri"/>
            <family val="2"/>
            <scheme val="minor"/>
          </rPr>
          <t>Assumption basis: Based on FY2023–FY2025 SBC expense / revenue (SEC 10-K cash flow).</t>
        </r>
      </text>
    </comment>
    <comment ref="B38" authorId="0" shapeId="0" xr:uid="{00000000-0006-0000-0000-00004C000000}">
      <text>
        <r>
          <rPr>
            <sz val="11"/>
            <color theme="1"/>
            <rFont val="Calibri"/>
            <family val="2"/>
            <scheme val="minor"/>
          </rPr>
          <t>Assumption basis: Calibrated to FY2024–FY2025 depreciation expense vs PP&amp;E (SEC 10-K Note 5; approximation).</t>
        </r>
      </text>
    </comment>
    <comment ref="B39" authorId="0" shapeId="0" xr:uid="{00000000-0006-0000-0000-00004D000000}">
      <text>
        <r>
          <rPr>
            <sz val="11"/>
            <color theme="1"/>
            <rFont val="Calibri"/>
            <family val="2"/>
            <scheme val="minor"/>
          </rPr>
          <t>Assumption basis: Approx. FY2025 (D&amp;A - PP&amp;E depreciation).</t>
        </r>
      </text>
    </comment>
    <comment ref="B40" authorId="0" shapeId="0" xr:uid="{00000000-0006-0000-0000-00004E000000}">
      <text>
        <r>
          <rPr>
            <sz val="11"/>
            <color theme="1"/>
            <rFont val="Calibri"/>
            <family val="2"/>
            <scheme val="minor"/>
          </rPr>
          <t>Assumption basis: Extrapolated (no FY2029 equity shown in MarketsInsider consensus table).</t>
        </r>
      </text>
    </comment>
    <comment ref="B44" authorId="0" shapeId="0" xr:uid="{00000000-0006-0000-0000-00004F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C44" authorId="0" shapeId="0" xr:uid="{00000000-0006-0000-0000-000050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D44" authorId="0" shapeId="0" xr:uid="{00000000-0006-0000-0000-000051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B45" authorId="0" shapeId="0" xr:uid="{00000000-0006-0000-0000-000052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C45" authorId="0" shapeId="0" xr:uid="{00000000-0006-0000-0000-000053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D45" authorId="0" shapeId="0" xr:uid="{00000000-0006-0000-0000-000054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B46" authorId="0" shapeId="0" xr:uid="{00000000-0006-0000-0000-000055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C46" authorId="0" shapeId="0" xr:uid="{00000000-0006-0000-0000-000056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D46" authorId="0" shapeId="0" xr:uid="{00000000-0006-0000-0000-000057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B48" authorId="0" shapeId="0" xr:uid="{00000000-0006-0000-0000-000058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C48" authorId="0" shapeId="0" xr:uid="{00000000-0006-0000-0000-000059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D48" authorId="0" shapeId="0" xr:uid="{00000000-0006-0000-0000-00005A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B49" authorId="0" shapeId="0" xr:uid="{00000000-0006-0000-0000-00005B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C49" authorId="0" shapeId="0" xr:uid="{00000000-0006-0000-0000-00005C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D49" authorId="0" shapeId="0" xr:uid="{00000000-0006-0000-0000-00005D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B50" authorId="0" shapeId="0" xr:uid="{00000000-0006-0000-0000-00005E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C50" authorId="0" shapeId="0" xr:uid="{00000000-0006-0000-0000-00005F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D50" authorId="0" shapeId="0" xr:uid="{00000000-0006-0000-0000-000060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B51" authorId="0" shapeId="0" xr:uid="{00000000-0006-0000-0000-000061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C51" authorId="0" shapeId="0" xr:uid="{00000000-0006-0000-0000-000062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D51" authorId="0" shapeId="0" xr:uid="{00000000-0006-0000-0000-000063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E51" authorId="0" shapeId="0" xr:uid="{00000000-0006-0000-0000-000064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F51" authorId="0" shapeId="0" xr:uid="{00000000-0006-0000-0000-000065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G51" authorId="0" shapeId="0" xr:uid="{00000000-0006-0000-0000-000066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H51" authorId="0" shapeId="0" xr:uid="{00000000-0006-0000-0000-000067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B53" authorId="0" shapeId="0" xr:uid="{00000000-0006-0000-0000-000068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C53" authorId="0" shapeId="0" xr:uid="{00000000-0006-0000-0000-000069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D53" authorId="0" shapeId="0" xr:uid="{00000000-0006-0000-0000-00006A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E53" authorId="0" shapeId="0" xr:uid="{00000000-0006-0000-0000-00006B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F53" authorId="0" shapeId="0" xr:uid="{00000000-0006-0000-0000-00006C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G53" authorId="0" shapeId="0" xr:uid="{00000000-0006-0000-0000-00006D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H53" authorId="0" shapeId="0" xr:uid="{00000000-0006-0000-0000-00006E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B54" authorId="0" shapeId="0" xr:uid="{00000000-0006-0000-0000-00006F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C54" authorId="0" shapeId="0" xr:uid="{00000000-0006-0000-0000-000070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D54" authorId="0" shapeId="0" xr:uid="{00000000-0006-0000-0000-000071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E54" authorId="0" shapeId="0" xr:uid="{00000000-0006-0000-0000-000072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F54" authorId="0" shapeId="0" xr:uid="{00000000-0006-0000-0000-000073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G54" authorId="0" shapeId="0" xr:uid="{00000000-0006-0000-0000-000074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H54" authorId="0" shapeId="0" xr:uid="{00000000-0006-0000-0000-000075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B55" authorId="0" shapeId="0" xr:uid="{00000000-0006-0000-0000-000076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C55" authorId="0" shapeId="0" xr:uid="{00000000-0006-0000-0000-000077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D55" authorId="0" shapeId="0" xr:uid="{00000000-0006-0000-0000-000078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B56" authorId="0" shapeId="0" xr:uid="{00000000-0006-0000-0000-000079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C56" authorId="0" shapeId="0" xr:uid="{00000000-0006-0000-0000-00007A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D56" authorId="0" shapeId="0" xr:uid="{00000000-0006-0000-0000-00007B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B57" authorId="0" shapeId="0" xr:uid="{00000000-0006-0000-0000-00007C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C57" authorId="0" shapeId="0" xr:uid="{00000000-0006-0000-0000-00007D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D57" authorId="0" shapeId="0" xr:uid="{00000000-0006-0000-0000-00007E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B58" authorId="0" shapeId="0" xr:uid="{00000000-0006-0000-0000-00007F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C58" authorId="0" shapeId="0" xr:uid="{00000000-0006-0000-0000-000080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D58" authorId="0" shapeId="0" xr:uid="{00000000-0006-0000-0000-000081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E58" authorId="0" shapeId="0" xr:uid="{00000000-0006-0000-0000-000082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F58" authorId="0" shapeId="0" xr:uid="{00000000-0006-0000-0000-000083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G58" authorId="0" shapeId="0" xr:uid="{00000000-0006-0000-0000-000084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H58" authorId="0" shapeId="0" xr:uid="{00000000-0006-0000-0000-000085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B59" authorId="0" shapeId="0" xr:uid="{00000000-0006-0000-0000-000086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C59" authorId="0" shapeId="0" xr:uid="{00000000-0006-0000-0000-000087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D59" authorId="0" shapeId="0" xr:uid="{00000000-0006-0000-0000-000088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B60" authorId="0" shapeId="0" xr:uid="{00000000-0006-0000-0000-000089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C60" authorId="0" shapeId="0" xr:uid="{00000000-0006-0000-0000-00008A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D60" authorId="0" shapeId="0" xr:uid="{00000000-0006-0000-0000-00008B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E60" authorId="0" shapeId="0" xr:uid="{00000000-0006-0000-0000-00008C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F60" authorId="0" shapeId="0" xr:uid="{00000000-0006-0000-0000-00008D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G60" authorId="0" shapeId="0" xr:uid="{00000000-0006-0000-0000-00008E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H60" authorId="0" shapeId="0" xr:uid="{00000000-0006-0000-0000-00008F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B61" authorId="0" shapeId="0" xr:uid="{00000000-0006-0000-0000-000090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C61" authorId="0" shapeId="0" xr:uid="{00000000-0006-0000-0000-000091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D61" authorId="0" shapeId="0" xr:uid="{00000000-0006-0000-0000-000092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B62" authorId="0" shapeId="0" xr:uid="{00000000-0006-0000-0000-000093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C62" authorId="0" shapeId="0" xr:uid="{00000000-0006-0000-0000-000094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D62" authorId="0" shapeId="0" xr:uid="{00000000-0006-0000-0000-000095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E62" authorId="0" shapeId="0" xr:uid="{00000000-0006-0000-0000-000096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F62" authorId="0" shapeId="0" xr:uid="{00000000-0006-0000-0000-000097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G62" authorId="0" shapeId="0" xr:uid="{00000000-0006-0000-0000-000098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H62" authorId="0" shapeId="0" xr:uid="{00000000-0006-0000-0000-000099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B66" authorId="0" shapeId="0" xr:uid="{00000000-0006-0000-0000-00009A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C66" authorId="0" shapeId="0" xr:uid="{00000000-0006-0000-0000-00009B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D66" authorId="0" shapeId="0" xr:uid="{00000000-0006-0000-0000-00009C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B68" authorId="0" shapeId="0" xr:uid="{00000000-0006-0000-0000-00009D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C68" authorId="0" shapeId="0" xr:uid="{00000000-0006-0000-0000-00009E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D68" authorId="0" shapeId="0" xr:uid="{00000000-0006-0000-0000-00009F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B69" authorId="0" shapeId="0" xr:uid="{00000000-0006-0000-0000-0000A0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C69" authorId="0" shapeId="0" xr:uid="{00000000-0006-0000-0000-0000A1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D69" authorId="0" shapeId="0" xr:uid="{00000000-0006-0000-0000-0000A2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B70" authorId="0" shapeId="0" xr:uid="{00000000-0006-0000-0000-0000A3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C70" authorId="0" shapeId="0" xr:uid="{00000000-0006-0000-0000-0000A4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D70" authorId="0" shapeId="0" xr:uid="{00000000-0006-0000-0000-0000A5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B72" authorId="0" shapeId="0" xr:uid="{00000000-0006-0000-0000-0000A6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C72" authorId="0" shapeId="0" xr:uid="{00000000-0006-0000-0000-0000A7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D72" authorId="0" shapeId="0" xr:uid="{00000000-0006-0000-0000-0000A8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B73" authorId="0" shapeId="0" xr:uid="{00000000-0006-0000-0000-0000A9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C73" authorId="0" shapeId="0" xr:uid="{00000000-0006-0000-0000-0000AA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D73" authorId="0" shapeId="0" xr:uid="{00000000-0006-0000-0000-0000AB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B74" authorId="0" shapeId="0" xr:uid="{00000000-0006-0000-0000-0000AC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C74" authorId="0" shapeId="0" xr:uid="{00000000-0006-0000-0000-0000AD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D74" authorId="0" shapeId="0" xr:uid="{00000000-0006-0000-0000-0000AE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B76" authorId="0" shapeId="0" xr:uid="{00000000-0006-0000-0000-0000AF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C76" authorId="0" shapeId="0" xr:uid="{00000000-0006-0000-0000-0000B0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D76" authorId="0" shapeId="0" xr:uid="{00000000-0006-0000-0000-0000B1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B79" authorId="0" shapeId="0" xr:uid="{00000000-0006-0000-0000-0000B2000000}">
      <text>
        <r>
          <rPr>
            <sz val="11"/>
            <color theme="1"/>
            <rFont val="Calibri"/>
            <family val="2"/>
            <scheme val="minor"/>
          </rPr>
          <t>Plug to reconcile to reported CFO (captures other non-cash and other asset/liability changes).</t>
        </r>
      </text>
    </comment>
    <comment ref="C79" authorId="0" shapeId="0" xr:uid="{00000000-0006-0000-0000-0000B3000000}">
      <text>
        <r>
          <rPr>
            <sz val="11"/>
            <color theme="1"/>
            <rFont val="Calibri"/>
            <family val="2"/>
            <scheme val="minor"/>
          </rPr>
          <t>Plug to reconcile to reported CFO (captures other non-cash and other asset/liability changes).</t>
        </r>
      </text>
    </comment>
    <comment ref="D79" authorId="0" shapeId="0" xr:uid="{00000000-0006-0000-0000-0000B4000000}">
      <text>
        <r>
          <rPr>
            <sz val="11"/>
            <color theme="1"/>
            <rFont val="Calibri"/>
            <family val="2"/>
            <scheme val="minor"/>
          </rPr>
          <t>Plug to reconcile to reported CFO (captures other non-cash and other asset/liability changes).</t>
        </r>
      </text>
    </comment>
    <comment ref="B80" authorId="0" shapeId="0" xr:uid="{00000000-0006-0000-0000-0000B5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C80" authorId="0" shapeId="0" xr:uid="{00000000-0006-0000-0000-0000B6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D80" authorId="0" shapeId="0" xr:uid="{00000000-0006-0000-0000-0000B7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E80" authorId="0" shapeId="0" xr:uid="{00000000-0006-0000-0000-0000B8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F80" authorId="0" shapeId="0" xr:uid="{00000000-0006-0000-0000-0000B9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G80" authorId="0" shapeId="0" xr:uid="{00000000-0006-0000-0000-0000BA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H80" authorId="0" shapeId="0" xr:uid="{00000000-0006-0000-0000-0000BB000000}">
      <text>
        <r>
          <rPr>
            <sz val="11"/>
            <color theme="1"/>
            <rFont val="Calibri"/>
            <family val="2"/>
            <scheme val="minor"/>
          </rPr>
          <t>FY2029 CFO derived as FCF + Capex (FCF definition assumed CFO - Capex).</t>
        </r>
      </text>
    </comment>
    <comment ref="B82" authorId="0" shapeId="0" xr:uid="{00000000-0006-0000-0000-0000BC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C82" authorId="0" shapeId="0" xr:uid="{00000000-0006-0000-0000-0000BD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D82" authorId="0" shapeId="0" xr:uid="{00000000-0006-0000-0000-0000BE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B83" authorId="0" shapeId="0" xr:uid="{00000000-0006-0000-0000-0000BF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C83" authorId="0" shapeId="0" xr:uid="{00000000-0006-0000-0000-0000C0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D83" authorId="0" shapeId="0" xr:uid="{00000000-0006-0000-0000-0000C1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E83" authorId="0" shapeId="0" xr:uid="{00000000-0006-0000-0000-0000C2000000}">
      <text>
        <r>
          <rPr>
            <sz val="11"/>
            <color theme="1"/>
            <rFont val="Calibri"/>
            <family val="2"/>
            <scheme val="minor"/>
          </rPr>
          <t>Modeled as negative of change in marketable securities balances (simplified).</t>
        </r>
      </text>
    </comment>
    <comment ref="F83" authorId="0" shapeId="0" xr:uid="{00000000-0006-0000-0000-0000C3000000}">
      <text>
        <r>
          <rPr>
            <sz val="11"/>
            <color theme="1"/>
            <rFont val="Calibri"/>
            <family val="2"/>
            <scheme val="minor"/>
          </rPr>
          <t>Modeled as negative of change in marketable securities balances (simplified).</t>
        </r>
      </text>
    </comment>
    <comment ref="G83" authorId="0" shapeId="0" xr:uid="{00000000-0006-0000-0000-0000C4000000}">
      <text>
        <r>
          <rPr>
            <sz val="11"/>
            <color theme="1"/>
            <rFont val="Calibri"/>
            <family val="2"/>
            <scheme val="minor"/>
          </rPr>
          <t>Modeled as negative of change in marketable securities balances (simplified).</t>
        </r>
      </text>
    </comment>
    <comment ref="H83" authorId="0" shapeId="0" xr:uid="{00000000-0006-0000-0000-0000C5000000}">
      <text>
        <r>
          <rPr>
            <sz val="11"/>
            <color theme="1"/>
            <rFont val="Calibri"/>
            <family val="2"/>
            <scheme val="minor"/>
          </rPr>
          <t>Modeled as negative of change in marketable securities balances (simplified).</t>
        </r>
      </text>
    </comment>
    <comment ref="B84" authorId="0" shapeId="0" xr:uid="{00000000-0006-0000-0000-0000C6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C84" authorId="0" shapeId="0" xr:uid="{00000000-0006-0000-0000-0000C7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D84" authorId="0" shapeId="0" xr:uid="{00000000-0006-0000-0000-0000C8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B85" authorId="0" shapeId="0" xr:uid="{00000000-0006-0000-0000-0000C9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C85" authorId="0" shapeId="0" xr:uid="{00000000-0006-0000-0000-0000CA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D85" authorId="0" shapeId="0" xr:uid="{00000000-0006-0000-0000-0000CB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E85" authorId="0" shapeId="0" xr:uid="{00000000-0006-0000-0000-0000CC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F85" authorId="0" shapeId="0" xr:uid="{00000000-0006-0000-0000-0000CD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G85" authorId="0" shapeId="0" xr:uid="{00000000-0006-0000-0000-0000CE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H85" authorId="0" shapeId="0" xr:uid="{00000000-0006-0000-0000-0000CF000000}">
      <text>
        <r>
          <rPr>
            <sz val="11"/>
            <color theme="1"/>
            <rFont val="Calibri"/>
            <family val="2"/>
            <scheme val="minor"/>
          </rPr>
          <t>FY2029 CFI scaled from FY2028 CFI / Revenue.</t>
        </r>
      </text>
    </comment>
    <comment ref="B87" authorId="0" shapeId="0" xr:uid="{00000000-0006-0000-0000-0000D0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C87" authorId="0" shapeId="0" xr:uid="{00000000-0006-0000-0000-0000D1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D87" authorId="0" shapeId="0" xr:uid="{00000000-0006-0000-0000-0000D2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B88" authorId="0" shapeId="0" xr:uid="{00000000-0006-0000-0000-0000D3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C88" authorId="0" shapeId="0" xr:uid="{00000000-0006-0000-0000-0000D4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D88" authorId="0" shapeId="0" xr:uid="{00000000-0006-0000-0000-0000D5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B89" authorId="0" shapeId="0" xr:uid="{00000000-0006-0000-0000-0000D6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C89" authorId="0" shapeId="0" xr:uid="{00000000-0006-0000-0000-0000D7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D89" authorId="0" shapeId="0" xr:uid="{00000000-0006-0000-0000-0000D8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E89" authorId="0" shapeId="0" xr:uid="{00000000-0006-0000-0000-0000D9000000}">
      <text>
        <r>
          <rPr>
            <sz val="11"/>
            <color theme="1"/>
            <rFont val="Calibri"/>
            <family val="2"/>
            <scheme val="minor"/>
          </rPr>
          <t>Debt plug to reconcile financing cash flow total after dividends &amp; buybacks.</t>
        </r>
      </text>
    </comment>
    <comment ref="F89" authorId="0" shapeId="0" xr:uid="{00000000-0006-0000-0000-0000DA000000}">
      <text>
        <r>
          <rPr>
            <sz val="11"/>
            <color theme="1"/>
            <rFont val="Calibri"/>
            <family val="2"/>
            <scheme val="minor"/>
          </rPr>
          <t>Debt plug to reconcile financing cash flow total after dividends &amp; buybacks.</t>
        </r>
      </text>
    </comment>
    <comment ref="G89" authorId="0" shapeId="0" xr:uid="{00000000-0006-0000-0000-0000DB000000}">
      <text>
        <r>
          <rPr>
            <sz val="11"/>
            <color theme="1"/>
            <rFont val="Calibri"/>
            <family val="2"/>
            <scheme val="minor"/>
          </rPr>
          <t>Debt plug to reconcile financing cash flow total after dividends &amp; buybacks.</t>
        </r>
      </text>
    </comment>
    <comment ref="H89" authorId="0" shapeId="0" xr:uid="{00000000-0006-0000-0000-0000DC000000}">
      <text>
        <r>
          <rPr>
            <sz val="11"/>
            <color theme="1"/>
            <rFont val="Calibri"/>
            <family val="2"/>
            <scheme val="minor"/>
          </rPr>
          <t>Debt plug to reconcile financing cash flow total after dividends &amp; buybacks.</t>
        </r>
      </text>
    </comment>
    <comment ref="B90" authorId="0" shapeId="0" xr:uid="{00000000-0006-0000-0000-0000DD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C90" authorId="0" shapeId="0" xr:uid="{00000000-0006-0000-0000-0000DE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D90" authorId="0" shapeId="0" xr:uid="{00000000-0006-0000-0000-0000DF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B91" authorId="0" shapeId="0" xr:uid="{00000000-0006-0000-0000-0000E0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C91" authorId="0" shapeId="0" xr:uid="{00000000-0006-0000-0000-0000E1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D91" authorId="0" shapeId="0" xr:uid="{00000000-0006-0000-0000-0000E2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E91" authorId="0" shapeId="0" xr:uid="{00000000-0006-0000-0000-0000E3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F91" authorId="0" shapeId="0" xr:uid="{00000000-0006-0000-0000-0000E4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G91" authorId="0" shapeId="0" xr:uid="{00000000-0006-0000-0000-0000E5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H91" authorId="0" shapeId="0" xr:uid="{00000000-0006-0000-0000-0000E6000000}">
      <text>
        <r>
          <rPr>
            <sz val="11"/>
            <color theme="1"/>
            <rFont val="Calibri"/>
            <family val="2"/>
            <scheme val="minor"/>
          </rPr>
          <t>FY2029 CFF scaled from FY2028 CFF / Revenue.</t>
        </r>
      </text>
    </comment>
    <comment ref="B92" authorId="0" shapeId="0" xr:uid="{00000000-0006-0000-0000-0000E7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C92" authorId="0" shapeId="0" xr:uid="{00000000-0006-0000-0000-0000E8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D92" authorId="0" shapeId="0" xr:uid="{00000000-0006-0000-0000-0000E9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B93" authorId="0" shapeId="0" xr:uid="{00000000-0006-0000-0000-0000EA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C93" authorId="0" shapeId="0" xr:uid="{00000000-0006-0000-0000-0000EB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D93" authorId="0" shapeId="0" xr:uid="{00000000-0006-0000-0000-0000EC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B98" authorId="0" shapeId="0" xr:uid="{00000000-0006-0000-0000-0000ED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98" authorId="0" shapeId="0" xr:uid="{00000000-0006-0000-0000-0000EE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98" authorId="0" shapeId="0" xr:uid="{00000000-0006-0000-0000-0000EF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B99" authorId="0" shapeId="0" xr:uid="{00000000-0006-0000-0000-0000F0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99" authorId="0" shapeId="0" xr:uid="{00000000-0006-0000-0000-0000F1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99" authorId="0" shapeId="0" xr:uid="{00000000-0006-0000-0000-0000F2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B100" authorId="0" shapeId="0" xr:uid="{00000000-0006-0000-0000-0000F3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100" authorId="0" shapeId="0" xr:uid="{00000000-0006-0000-0000-0000F4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100" authorId="0" shapeId="0" xr:uid="{00000000-0006-0000-0000-0000F5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B101" authorId="0" shapeId="0" xr:uid="{00000000-0006-0000-0000-0000F6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101" authorId="0" shapeId="0" xr:uid="{00000000-0006-0000-0000-0000F7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101" authorId="0" shapeId="0" xr:uid="{00000000-0006-0000-0000-0000F8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B102" authorId="0" shapeId="0" xr:uid="{00000000-0006-0000-0000-0000F9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102" authorId="0" shapeId="0" xr:uid="{00000000-0006-0000-0000-0000FA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102" authorId="0" shapeId="0" xr:uid="{00000000-0006-0000-0000-0000FB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B103" authorId="0" shapeId="0" xr:uid="{00000000-0006-0000-0000-0000FC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103" authorId="0" shapeId="0" xr:uid="{00000000-0006-0000-0000-0000FD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103" authorId="0" shapeId="0" xr:uid="{00000000-0006-0000-0000-0000FE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B104" authorId="0" shapeId="0" xr:uid="{00000000-0006-0000-0000-0000FF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104" authorId="0" shapeId="0" xr:uid="{00000000-0006-0000-0000-000000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104" authorId="0" shapeId="0" xr:uid="{00000000-0006-0000-0000-000001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B106" authorId="0" shapeId="0" xr:uid="{00000000-0006-0000-0000-000002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106" authorId="0" shapeId="0" xr:uid="{00000000-0006-0000-0000-000003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106" authorId="0" shapeId="0" xr:uid="{00000000-0006-0000-0000-000004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B107" authorId="0" shapeId="0" xr:uid="{00000000-0006-0000-0000-000005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107" authorId="0" shapeId="0" xr:uid="{00000000-0006-0000-0000-000006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107" authorId="0" shapeId="0" xr:uid="{00000000-0006-0000-0000-000007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B108" authorId="0" shapeId="0" xr:uid="{00000000-0006-0000-0000-000008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108" authorId="0" shapeId="0" xr:uid="{00000000-0006-0000-0000-000009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108" authorId="0" shapeId="0" xr:uid="{00000000-0006-0000-0000-00000A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E108" authorId="0" shapeId="0" xr:uid="{00000000-0006-0000-0000-00000B010000}">
      <text>
        <r>
          <rPr>
            <sz val="11"/>
            <color theme="1"/>
            <rFont val="Calibri"/>
            <family val="2"/>
            <scheme val="minor"/>
          </rPr>
          <t>Plug so Total Assets match consensus. Represents other non-current assets not explicitly forecast.</t>
        </r>
      </text>
    </comment>
    <comment ref="F108" authorId="0" shapeId="0" xr:uid="{00000000-0006-0000-0000-00000C010000}">
      <text>
        <r>
          <rPr>
            <sz val="11"/>
            <color theme="1"/>
            <rFont val="Calibri"/>
            <family val="2"/>
            <scheme val="minor"/>
          </rPr>
          <t>Plug so Total Assets match consensus. Represents other non-current assets not explicitly forecast.</t>
        </r>
      </text>
    </comment>
    <comment ref="G108" authorId="0" shapeId="0" xr:uid="{00000000-0006-0000-0000-00000D010000}">
      <text>
        <r>
          <rPr>
            <sz val="11"/>
            <color theme="1"/>
            <rFont val="Calibri"/>
            <family val="2"/>
            <scheme val="minor"/>
          </rPr>
          <t>Plug so Total Assets match consensus. Represents other non-current assets not explicitly forecast.</t>
        </r>
      </text>
    </comment>
    <comment ref="H108" authorId="0" shapeId="0" xr:uid="{00000000-0006-0000-0000-00000E010000}">
      <text>
        <r>
          <rPr>
            <sz val="11"/>
            <color theme="1"/>
            <rFont val="Calibri"/>
            <family val="2"/>
            <scheme val="minor"/>
          </rPr>
          <t>Plug so Total Assets match consensus. Represents other non-current assets not explicitly forecast.</t>
        </r>
      </text>
    </comment>
    <comment ref="B109" authorId="0" shapeId="0" xr:uid="{00000000-0006-0000-0000-00000F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109" authorId="0" shapeId="0" xr:uid="{00000000-0006-0000-0000-000010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109" authorId="0" shapeId="0" xr:uid="{00000000-0006-0000-0000-000011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B110" authorId="0" shapeId="0" xr:uid="{00000000-0006-0000-0000-000012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110" authorId="0" shapeId="0" xr:uid="{00000000-0006-0000-0000-000013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110" authorId="0" shapeId="0" xr:uid="{00000000-0006-0000-0000-000014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E110" authorId="0" shapeId="0" xr:uid="{00000000-0006-0000-0000-00001501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F110" authorId="0" shapeId="0" xr:uid="{00000000-0006-0000-0000-00001601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G110" authorId="0" shapeId="0" xr:uid="{00000000-0006-0000-0000-00001701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H110" authorId="0" shapeId="0" xr:uid="{00000000-0006-0000-0000-00001801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B114" authorId="0" shapeId="0" xr:uid="{00000000-0006-0000-0000-000019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114" authorId="0" shapeId="0" xr:uid="{00000000-0006-0000-0000-00001A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114" authorId="0" shapeId="0" xr:uid="{00000000-0006-0000-0000-00001B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B115" authorId="0" shapeId="0" xr:uid="{00000000-0006-0000-0000-00001C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115" authorId="0" shapeId="0" xr:uid="{00000000-0006-0000-0000-00001D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115" authorId="0" shapeId="0" xr:uid="{00000000-0006-0000-0000-00001E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B116" authorId="0" shapeId="0" xr:uid="{00000000-0006-0000-0000-00001F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116" authorId="0" shapeId="0" xr:uid="{00000000-0006-0000-0000-000020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116" authorId="0" shapeId="0" xr:uid="{00000000-0006-0000-0000-000021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B117" authorId="0" shapeId="0" xr:uid="{00000000-0006-0000-0000-000022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117" authorId="0" shapeId="0" xr:uid="{00000000-0006-0000-0000-000023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117" authorId="0" shapeId="0" xr:uid="{00000000-0006-0000-0000-000024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B118" authorId="0" shapeId="0" xr:uid="{00000000-0006-0000-0000-000025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118" authorId="0" shapeId="0" xr:uid="{00000000-0006-0000-0000-000026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118" authorId="0" shapeId="0" xr:uid="{00000000-0006-0000-0000-000027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B119" authorId="0" shapeId="0" xr:uid="{00000000-0006-0000-0000-000028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119" authorId="0" shapeId="0" xr:uid="{00000000-0006-0000-0000-000029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119" authorId="0" shapeId="0" xr:uid="{00000000-0006-0000-0000-00002A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B121" authorId="0" shapeId="0" xr:uid="{00000000-0006-0000-0000-00002B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121" authorId="0" shapeId="0" xr:uid="{00000000-0006-0000-0000-00002C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121" authorId="0" shapeId="0" xr:uid="{00000000-0006-0000-0000-00002D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B122" authorId="0" shapeId="0" xr:uid="{00000000-0006-0000-0000-00002E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122" authorId="0" shapeId="0" xr:uid="{00000000-0006-0000-0000-00002F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122" authorId="0" shapeId="0" xr:uid="{00000000-0006-0000-0000-000030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E122" authorId="0" shapeId="0" xr:uid="{00000000-0006-0000-0000-000031010000}">
      <text>
        <r>
          <rPr>
            <sz val="11"/>
            <color theme="1"/>
            <rFont val="Calibri"/>
            <family val="2"/>
            <scheme val="minor"/>
          </rPr>
          <t>Plug so Total Liabilities + Equity equals Total Assets (liabilities inferred from consensus assets/equity).</t>
        </r>
      </text>
    </comment>
    <comment ref="F122" authorId="0" shapeId="0" xr:uid="{00000000-0006-0000-0000-000032010000}">
      <text>
        <r>
          <rPr>
            <sz val="11"/>
            <color theme="1"/>
            <rFont val="Calibri"/>
            <family val="2"/>
            <scheme val="minor"/>
          </rPr>
          <t>Plug so Total Liabilities + Equity equals Total Assets (liabilities inferred from consensus assets/equity).</t>
        </r>
      </text>
    </comment>
    <comment ref="G122" authorId="0" shapeId="0" xr:uid="{00000000-0006-0000-0000-000033010000}">
      <text>
        <r>
          <rPr>
            <sz val="11"/>
            <color theme="1"/>
            <rFont val="Calibri"/>
            <family val="2"/>
            <scheme val="minor"/>
          </rPr>
          <t>Plug so Total Liabilities + Equity equals Total Assets (liabilities inferred from consensus assets/equity).</t>
        </r>
      </text>
    </comment>
    <comment ref="H122" authorId="0" shapeId="0" xr:uid="{00000000-0006-0000-0000-000034010000}">
      <text>
        <r>
          <rPr>
            <sz val="11"/>
            <color theme="1"/>
            <rFont val="Calibri"/>
            <family val="2"/>
            <scheme val="minor"/>
          </rPr>
          <t>Plug so Total Liabilities + Equity equals Total Assets (liabilities inferred from consensus assets/equity).</t>
        </r>
      </text>
    </comment>
    <comment ref="B123" authorId="0" shapeId="0" xr:uid="{00000000-0006-0000-0000-000035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123" authorId="0" shapeId="0" xr:uid="{00000000-0006-0000-0000-000036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123" authorId="0" shapeId="0" xr:uid="{00000000-0006-0000-0000-000037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B124" authorId="0" shapeId="0" xr:uid="{00000000-0006-0000-0000-000038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124" authorId="0" shapeId="0" xr:uid="{00000000-0006-0000-0000-000039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124" authorId="0" shapeId="0" xr:uid="{00000000-0006-0000-0000-00003A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B125" authorId="0" shapeId="0" xr:uid="{00000000-0006-0000-0000-00003B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125" authorId="0" shapeId="0" xr:uid="{00000000-0006-0000-0000-00003C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125" authorId="0" shapeId="0" xr:uid="{00000000-0006-0000-0000-00003D01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Sources</author>
  </authors>
  <commentList>
    <comment ref="C6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Source: Apple FY2025 10-K Note 5 (PP&amp;E) https://www.sec.gov/Archives/edgar/data/320193/000032019325000079/aapl-20250927.htm.</t>
        </r>
      </text>
    </comment>
    <comment ref="D6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Source: Apple FY2025 10-K Note 5 (PP&amp;E) https://www.sec.gov/Archives/edgar/data/320193/000032019325000079/aapl-20250927.htm.</t>
        </r>
      </text>
    </comment>
    <comment ref="B7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Source: Apple FY2025 10-K CF (capex). https://www.sec.gov/Archives/edgar/data/320193/000032019325000079/aapl-20250927.htm</t>
        </r>
      </text>
    </comment>
    <comment ref="C7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Source: Apple FY2025 10-K CF (capex). https://www.sec.gov/Archives/edgar/data/320193/000032019325000079/aapl-20250927.htm</t>
        </r>
      </text>
    </comment>
    <comment ref="D7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Source: Apple FY2025 10-K CF (capex). https://www.sec.gov/Archives/edgar/data/320193/000032019325000079/aapl-20250927.htm</t>
        </r>
      </text>
    </comment>
    <comment ref="B8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Source: Apple FY2025 10-K Note 5 (PP&amp;E) https://www.sec.gov/Archives/edgar/data/320193/000032019325000079/aapl-20250927.htm.</t>
        </r>
      </text>
    </comment>
    <comment ref="C8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Source: Apple FY2025 10-K Note 5 (PP&amp;E) https://www.sec.gov/Archives/edgar/data/320193/000032019325000079/aapl-20250927.htm.</t>
        </r>
      </text>
    </comment>
    <comment ref="D8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Source: Apple FY2025 10-K Note 5 (PP&amp;E) https://www.sec.gov/Archives/edgar/data/320193/000032019325000079/aapl-20250927.htm.</t>
        </r>
      </text>
    </comment>
    <comment ref="B9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Source: Apple FY2025 10-K Note 5 (PP&amp;E) https://www.sec.gov/Archives/edgar/data/320193/000032019325000079/aapl-20250927.htm.</t>
        </r>
      </text>
    </comment>
    <comment ref="C9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Source: Apple FY2025 10-K Note 5 (PP&amp;E) https://www.sec.gov/Archives/edgar/data/320193/000032019325000079/aapl-20250927.htm.</t>
        </r>
      </text>
    </comment>
    <comment ref="D9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>Source: Apple FY2025 10-K Note 5 (PP&amp;E) https://www.sec.gov/Archives/edgar/data/320193/000032019325000079/aapl-20250927.htm.</t>
        </r>
      </text>
    </comment>
    <comment ref="B11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Derived as total D&amp;A (CF) minus PP&amp;E depreciation (Note 5).</t>
        </r>
      </text>
    </comment>
    <comment ref="C11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>Derived as total D&amp;A (CF) minus PP&amp;E depreciation (Note 5).</t>
        </r>
      </text>
    </comment>
    <comment ref="D11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>Derived as total D&amp;A (CF) minus PP&amp;E depreciation (Note 5).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Sources</author>
  </authors>
  <commentList>
    <comment ref="B6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6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6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B7" authorId="0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7" authorId="0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7" authorId="0" shapeId="0" xr:uid="{00000000-0006-0000-0200-000006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B8" authorId="0" shapeId="0" xr:uid="{00000000-0006-0000-0200-000007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8" authorId="0" shapeId="0" xr:uid="{00000000-0006-0000-0200-000008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8" authorId="0" shapeId="0" xr:uid="{00000000-0006-0000-0200-000009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B9" authorId="0" shapeId="0" xr:uid="{00000000-0006-0000-0200-00000A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9" authorId="0" shapeId="0" xr:uid="{00000000-0006-0000-0200-00000B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9" authorId="0" shapeId="0" xr:uid="{00000000-0006-0000-0200-00000C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B11" authorId="0" shapeId="0" xr:uid="{00000000-0006-0000-0200-00000D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11" authorId="0" shapeId="0" xr:uid="{00000000-0006-0000-0200-00000E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11" authorId="0" shapeId="0" xr:uid="{00000000-0006-0000-0200-00000F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B12" authorId="0" shapeId="0" xr:uid="{00000000-0006-0000-0200-000010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12" authorId="0" shapeId="0" xr:uid="{00000000-0006-0000-0200-000011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12" authorId="0" shapeId="0" xr:uid="{00000000-0006-0000-0200-000012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B13" authorId="0" shapeId="0" xr:uid="{00000000-0006-0000-0200-000013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13" authorId="0" shapeId="0" xr:uid="{00000000-0006-0000-0200-000014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13" authorId="0" shapeId="0" xr:uid="{00000000-0006-0000-0200-000015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Sources</author>
  </authors>
  <commentList>
    <comment ref="B6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Shareholders’ Equity (beginning equity FY2023). https://www.sec.gov/Archives/edgar/data/320193/000032019325000079/aapl-20250927.htm</t>
        </r>
      </text>
    </comment>
    <comment ref="C6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6" authorId="0" shapeId="0" xr:uid="{00000000-0006-0000-0300-000003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B7" authorId="0" shapeId="0" xr:uid="{00000000-0006-0000-0300-000004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C7" authorId="0" shapeId="0" xr:uid="{00000000-0006-0000-0300-000005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D7" authorId="0" shapeId="0" xr:uid="{00000000-0006-0000-0300-000006000000}">
      <text>
        <r>
          <rPr>
            <sz val="11"/>
            <color theme="1"/>
            <rFont val="Calibri"/>
            <family val="2"/>
            <scheme val="minor"/>
          </rPr>
          <t>Source: Apple FY2025 10-K (Consolidated Statements of Operations) https://www.sec.gov/Archives/edgar/data/320193/000032019325000079/aapl-20250927.htm</t>
        </r>
      </text>
    </comment>
    <comment ref="E7" authorId="0" shapeId="0" xr:uid="{00000000-0006-0000-0300-000007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F7" authorId="0" shapeId="0" xr:uid="{00000000-0006-0000-0300-000008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G7" authorId="0" shapeId="0" xr:uid="{00000000-0006-0000-0300-000009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H7" authorId="0" shapeId="0" xr:uid="{00000000-0006-0000-0300-00000A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B8" authorId="0" shapeId="0" xr:uid="{00000000-0006-0000-0300-00000B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C8" authorId="0" shapeId="0" xr:uid="{00000000-0006-0000-0300-00000C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D8" authorId="0" shapeId="0" xr:uid="{00000000-0006-0000-0300-00000D000000}">
      <text>
        <r>
          <rPr>
            <sz val="11"/>
            <color theme="1"/>
            <rFont val="Calibri"/>
            <family val="2"/>
            <scheme val="minor"/>
          </rPr>
          <t>Source: Apple FY2025 10-K Consolidated Statements of Cash Flows https://www.sec.gov/Archives/edgar/data/320193/000032019325000079/aapl-20250927.htm</t>
        </r>
      </text>
    </comment>
    <comment ref="B10" authorId="0" shapeId="0" xr:uid="{00000000-0006-0000-0300-00000E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C10" authorId="0" shapeId="0" xr:uid="{00000000-0006-0000-0300-00000F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D10" authorId="0" shapeId="0" xr:uid="{00000000-0006-0000-0300-000010000000}">
      <text>
        <r>
          <rPr>
            <sz val="11"/>
            <color theme="1"/>
            <rFont val="Calibri"/>
            <family val="2"/>
            <scheme val="minor"/>
          </rPr>
          <t>Source: Apple FY2025 10-K (Balance Sheets) https://www.sec.gov/Archives/edgar/data/320193/000032019325000079/aapl-20250927.htm; FY2023 from FY2024 10-K https://www.sec.gov/Archives/edgar/data/320193/000032019324000123/aapl-20240928.htm.</t>
        </r>
      </text>
    </comment>
    <comment ref="E10" authorId="0" shapeId="0" xr:uid="{00000000-0006-0000-0300-000011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F10" authorId="0" shapeId="0" xr:uid="{00000000-0006-0000-0300-000012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G10" authorId="0" shapeId="0" xr:uid="{00000000-0006-0000-0300-000013000000}">
      <text>
        <r>
          <rPr>
            <sz val="11"/>
            <color theme="1"/>
            <rFont val="Calibri"/>
            <family val="2"/>
            <scheme val="minor"/>
          </rPr>
          <t>Consensus (FactSet via MarketsInsider): https://markets.businessinsider.com/stocks/aapl-stock</t>
        </r>
      </text>
    </comment>
    <comment ref="H10" authorId="0" shapeId="0" xr:uid="{00000000-0006-0000-0300-000014000000}">
      <text>
        <r>
          <rPr>
            <sz val="11"/>
            <color theme="1"/>
            <rFont val="Calibri"/>
            <family val="2"/>
            <scheme val="minor"/>
          </rPr>
          <t>Extrapolated target equity (no FY2029 equity shown in consensus table).</t>
        </r>
      </text>
    </comment>
  </commentList>
</comments>
</file>

<file path=xl/sharedStrings.xml><?xml version="1.0" encoding="utf-8"?>
<sst xmlns="http://schemas.openxmlformats.org/spreadsheetml/2006/main" count="421" uniqueCount="190">
  <si>
    <t>Apple Inc. – 3-Statement Model</t>
  </si>
  <si>
    <t>($ in millions, unless otherwise noted; shares in millions)</t>
  </si>
  <si>
    <t>Last updated:</t>
  </si>
  <si>
    <t>2026-02-06</t>
  </si>
  <si>
    <t>FY2025 Q4 headline (press release):</t>
  </si>
  <si>
    <t>Revenue $102.5B; Diluted EPS $1.85 (adj.)</t>
  </si>
  <si>
    <t>CONSENSUS INPUTS (FactSet consensus via MarketsInsider)</t>
  </si>
  <si>
    <t>Revenue</t>
  </si>
  <si>
    <t/>
  </si>
  <si>
    <t>Gross profit (Gross Income)</t>
  </si>
  <si>
    <t>R&amp;D expense</t>
  </si>
  <si>
    <t>SG&amp;A expense</t>
  </si>
  <si>
    <t>EBIT</t>
  </si>
  <si>
    <t>Pre-tax profit</t>
  </si>
  <si>
    <t>Net profit</t>
  </si>
  <si>
    <t>EPS (GAAP)</t>
  </si>
  <si>
    <t>Dividend / share</t>
  </si>
  <si>
    <t>Capital expenditures</t>
  </si>
  <si>
    <t>Total assets</t>
  </si>
  <si>
    <t>Shareholders' equity (consensus where available)</t>
  </si>
  <si>
    <t>Cash flow from operations</t>
  </si>
  <si>
    <t>Cash flow from investing</t>
  </si>
  <si>
    <t>Cash flow from financing</t>
  </si>
  <si>
    <t>Free cash flow</t>
  </si>
  <si>
    <t>MODEL ASSUMPTIONS (user inputs)</t>
  </si>
  <si>
    <t>Services % of revenue</t>
  </si>
  <si>
    <t>Current marketable securities % of revenue</t>
  </si>
  <si>
    <t>Non-current marketable securities % of revenue</t>
  </si>
  <si>
    <t>Accounts receivable % of revenue</t>
  </si>
  <si>
    <t>Vendor non-trade receivables % of revenue</t>
  </si>
  <si>
    <t>Inventory % of revenue</t>
  </si>
  <si>
    <t>Other current assets % of revenue</t>
  </si>
  <si>
    <t>Accounts payable % of revenue</t>
  </si>
  <si>
    <t>Other current liabilities % of revenue</t>
  </si>
  <si>
    <t>Deferred revenue % of revenue</t>
  </si>
  <si>
    <t>Commercial paper % of revenue</t>
  </si>
  <si>
    <t>Current term debt % of revenue</t>
  </si>
  <si>
    <t>Long-term term debt % of revenue</t>
  </si>
  <si>
    <t>Share-based compensation % of revenue</t>
  </si>
  <si>
    <t>PP&amp;E depreciation rate (% of beginning PP&amp;E net)</t>
  </si>
  <si>
    <t>Amortization &amp; other D&amp;A ($mm)</t>
  </si>
  <si>
    <t>FY2029 equity target ($mm)</t>
  </si>
  <si>
    <t>INCOME STATEMENT</t>
  </si>
  <si>
    <t>Net sales:</t>
  </si>
  <si>
    <t>Products</t>
  </si>
  <si>
    <t>Services</t>
  </si>
  <si>
    <t>Total net sales</t>
  </si>
  <si>
    <t>Cost of sales:</t>
  </si>
  <si>
    <t>Total cost of sales</t>
  </si>
  <si>
    <t>Gross margin</t>
  </si>
  <si>
    <t>Operating expenses:</t>
  </si>
  <si>
    <t>Research and development</t>
  </si>
  <si>
    <t>Selling, general and administrative</t>
  </si>
  <si>
    <t>Total operating expenses</t>
  </si>
  <si>
    <t>Operating income</t>
  </si>
  <si>
    <t>Other income/(expense), net</t>
  </si>
  <si>
    <t>Income before provision for income taxes</t>
  </si>
  <si>
    <t>Provision for income taxes</t>
  </si>
  <si>
    <t>Net income</t>
  </si>
  <si>
    <t>Diluted shares (mm)</t>
  </si>
  <si>
    <t>Diluted EPS ($/sh)</t>
  </si>
  <si>
    <t>EBIT check (OpInc - consensus EBIT)</t>
  </si>
  <si>
    <t>CASH FLOW STATEMENT</t>
  </si>
  <si>
    <t>Cash, beginning of period</t>
  </si>
  <si>
    <t>Operating activities:</t>
  </si>
  <si>
    <t>Depreciation &amp; amortization</t>
  </si>
  <si>
    <t>Share-based compensation</t>
  </si>
  <si>
    <t>Change in working capital:</t>
  </si>
  <si>
    <t>(Increase)/decrease in accounts receivable</t>
  </si>
  <si>
    <t>(Increase)/decrease in vendor non-trade receivables</t>
  </si>
  <si>
    <t>(Increase)/decrease in inventories</t>
  </si>
  <si>
    <t>(Increase)/decrease in other current assets</t>
  </si>
  <si>
    <t>Increase/(decrease) in accounts payable</t>
  </si>
  <si>
    <t>Increase/(decrease) in other current liabilities</t>
  </si>
  <si>
    <t>Increase/(decrease) in deferred revenue</t>
  </si>
  <si>
    <t>Other operating (plug to consensus CFO)</t>
  </si>
  <si>
    <t>Net cash from operating activities</t>
  </si>
  <si>
    <t>Investing activities:</t>
  </si>
  <si>
    <t>Net (purchase)/sale of marketable securities (plug)</t>
  </si>
  <si>
    <t>Other investing (plug)</t>
  </si>
  <si>
    <t>Net cash from investing activities</t>
  </si>
  <si>
    <t>Financing activities:</t>
  </si>
  <si>
    <t>Dividends paid</t>
  </si>
  <si>
    <t>Share repurchases (implied)</t>
  </si>
  <si>
    <t>Net debt issued/(repaid) (plug)</t>
  </si>
  <si>
    <t>Other financing (plug)</t>
  </si>
  <si>
    <t>Net cash from financing activities</t>
  </si>
  <si>
    <t>Net change in cash</t>
  </si>
  <si>
    <t>Cash, end of period</t>
  </si>
  <si>
    <t>BALANCE SHEET</t>
  </si>
  <si>
    <t>Assets:</t>
  </si>
  <si>
    <t>Current assets:</t>
  </si>
  <si>
    <t>Cash and cash equivalents</t>
  </si>
  <si>
    <t>Marketable securities</t>
  </si>
  <si>
    <t>Accounts receivable, net</t>
  </si>
  <si>
    <t>Vendor non-trade receivables</t>
  </si>
  <si>
    <t>Inventories</t>
  </si>
  <si>
    <t>Other current assets</t>
  </si>
  <si>
    <t>Total current assets</t>
  </si>
  <si>
    <t>Non-current assets:</t>
  </si>
  <si>
    <t>Property, plant and equipment, net</t>
  </si>
  <si>
    <t>Other non-current assets (plug to total assets)</t>
  </si>
  <si>
    <t>Total non-current assets</t>
  </si>
  <si>
    <t>Total assets (consensus for forecasts)</t>
  </si>
  <si>
    <t>Liabilities &amp; equity: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</si>
  <si>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</si>
  <si>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</si>
  <si>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</si>
  <si>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</si>
  <si>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</si>
  <si>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</si>
  <si>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</si>
  <si>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Non-current liabilities:</t>
  </si>
  <si>
    <t>Other non-current liabilities (plug)</t>
  </si>
  <si>
    <t>Total non-current liabilities</t>
  </si>
  <si>
    <t>Total liabilities</t>
  </si>
  <si>
    <t>Shareholders' equity (target)</t>
  </si>
  <si>
    <t>Balance check (Assets - (L+E))</t>
  </si>
  <si>
    <t>Cash tie check (BS Cash - CF End Cash)</t>
  </si>
  <si>
    <t>PP&amp;E &amp; D&amp;A Schedule</t>
  </si>
  <si>
    <t>($ in millions)</t>
  </si>
  <si>
    <t>Fiscal Year</t>
  </si>
  <si>
    <t>FY2023A</t>
  </si>
  <si>
    <t>FY2024A</t>
  </si>
  <si>
    <t>FY2025A</t>
  </si>
  <si>
    <t>FY2026E</t>
  </si>
  <si>
    <t>FY2027E</t>
  </si>
  <si>
    <t>FY2028E</t>
  </si>
  <si>
    <t>FY2029E</t>
  </si>
  <si>
    <t>Beginning PP&amp;E, net</t>
  </si>
  <si>
    <t>Capital expenditures (capex)</t>
  </si>
  <si>
    <t>Depreciation (PP&amp;E)</t>
  </si>
  <si>
    <t>Ending PP&amp;E, net</t>
  </si>
  <si>
    <t>Amortization &amp; other D&amp;A (assumption)</t>
  </si>
  <si>
    <t>Total depreciation &amp; amortization (for CF)</t>
  </si>
  <si>
    <t>Working Capital Schedule</t>
  </si>
  <si>
    <t>Balances in $mm; Days based on 365-day year</t>
  </si>
  <si>
    <t>Accounts receivable</t>
  </si>
  <si>
    <t>Net working capital (AR+VNTR+Inv+OCA-AP-OCL-DefRev)</t>
  </si>
  <si>
    <t>DSO (AR / Revenue * 365)</t>
  </si>
  <si>
    <t>DIO (Inv / COGS * 365)</t>
  </si>
  <si>
    <t>DPO (AP / COGS * 365)</t>
  </si>
  <si>
    <t>Equity Roll-Forward (Implied Buybacks)</t>
  </si>
  <si>
    <t>Beginning equity</t>
  </si>
  <si>
    <t>Other comprehensive income (assumed 0)</t>
  </si>
  <si>
    <t>Ending equity (target)</t>
  </si>
  <si>
    <t>Implied share repurchases (plug)</t>
  </si>
  <si>
    <t>Sources &amp; Links</t>
  </si>
  <si>
    <t>All links accessed on 2026-02-06</t>
  </si>
  <si>
    <t>Category</t>
  </si>
  <si>
    <t>URL</t>
  </si>
  <si>
    <t>Used for</t>
  </si>
  <si>
    <t>Accessed</t>
  </si>
  <si>
    <t>SEC filing (10-K)</t>
  </si>
  <si>
    <t>https://www.sec.gov/Archives/edgar/data/320193/000032019325000079/aapl-20250927.htm</t>
  </si>
  <si>
    <t>FY2023–FY2025 income statement &amp; cash flow; FY2024–FY2025 balance sheet; PP&amp;E note</t>
  </si>
  <si>
    <t>https://www.sec.gov/Archives/edgar/data/320193/000032019324000123/aapl-20240928.htm</t>
  </si>
  <si>
    <t>FY2023 balance sheet (to complete 3-year historical BS)</t>
  </si>
  <si>
    <t>Press release (Q4)</t>
  </si>
  <si>
    <t>https://www.apple.com/newsroom/2025/10/apple-reports-fourth-quarter-results/</t>
  </si>
  <si>
    <t>FY2025 Q4 revenue / EPS headline; cross-check with 10-K</t>
  </si>
  <si>
    <t>SEC filing (8-K ex99.1)</t>
  </si>
  <si>
    <t>https://www.sec.gov/Archives/edgar/data/320193/000032019325000077/a8-kex991q4202509272025.htm</t>
  </si>
  <si>
    <t>FY2025 Q4 press release + unaudited condensed statements</t>
  </si>
  <si>
    <t>Consensus estimates</t>
  </si>
  <si>
    <t>https://markets.businessinsider.com/stocks/aapl-stock</t>
  </si>
  <si>
    <t>FactSet consensus for FY2026–FY2029 revenue, profits, capex, cash flow totals, assets/equity (where available)</t>
  </si>
  <si>
    <t>Investor relations</t>
  </si>
  <si>
    <t>https://investor.apple.com/investor-relations/default.aspx</t>
  </si>
  <si>
    <t>Landing page for Apple financial reports (10-K, press releases)</t>
  </si>
  <si>
    <t>repaste of a hardcode, not driven of %</t>
  </si>
  <si>
    <t>not driven of interest expense</t>
  </si>
  <si>
    <t>hardcode not calc</t>
  </si>
  <si>
    <t>plug instead of driven of explicit tax rate</t>
  </si>
  <si>
    <t>hard code not calc</t>
  </si>
  <si>
    <t>not explicitly driven of share forecast</t>
  </si>
  <si>
    <t>repaste of a hardcode, not a calc</t>
  </si>
  <si>
    <t>nice touch</t>
  </si>
  <si>
    <t>Score is 3</t>
  </si>
  <si>
    <t>correct</t>
  </si>
  <si>
    <t>ok assumption</t>
  </si>
  <si>
    <t>ok assumption, poorly built schedule</t>
  </si>
  <si>
    <t>plug is bad, and this is a bad place for it</t>
  </si>
  <si>
    <t>not a good way to forecast</t>
  </si>
  <si>
    <t>ok assumption - could have grown with COGS</t>
  </si>
  <si>
    <t>should have been the plug</t>
  </si>
  <si>
    <t>not directly forecasting debt, using a plug is wrong</t>
  </si>
  <si>
    <t>wrong place for a plug</t>
  </si>
  <si>
    <t>lots of CF lines not flowing into balance sheet</t>
  </si>
  <si>
    <t>Score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</si>
</sst>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;&quot;-&quot;"/>
    <numFmt numFmtId="165" formatCode="\$0.00"/>
    <numFmt numFmtId="166" formatCode="0.0%"/>
    <numFmt numFmtId="167" formatCode="#,##0.0;[Red]\(#,##0.0\);&quot;-&quot;"/>
    <numFmt numFmtId="168" formatCode="0.0"/>
  </numFmts>
  <fonts count="11" x14ac:knownFonts="1">
    <font>
      <sz val="11"/>
      <color theme="1"/>
      <name val="Calibri"/>
      <family val="2"/>
      <scheme val="minor"/>
    </font>
    <font>
      <b/>
      <sz val="16"/>
      <color rgb="FF1F4E79"/>
      <name val="Calibri"/>
      <family val="2"/>
    </font>
    <font>
      <b/>
      <sz val="10"/>
      <color rgb="FF1F4E79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0000FF"/>
      <name val="Calibri"/>
      <family val="2"/>
    </font>
    <font>
      <sz val="11"/>
      <color rgb="FF008000"/>
      <name val="Calibri"/>
      <family val="2"/>
    </font>
    <font>
      <sz val="12"/>
      <color theme="10"/>
      <name val="Calibri"/>
      <family val="2"/>
      <scheme val="minor"/>
    </font>
    <font>
      <sz val="11"/>
      <color rgb="FF0070C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1F4E7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medium">
        <color rgb="FF1F4E79"/>
      </top>
      <bottom style="thin">
        <color rgb="FFA6A6A6"/>
      </bottom>
      <diagonal/>
    </border>
  </borders>
  <cellStyleXfs count="2">
    <xf numFmtId="0" fontId="0" fillId="0" borderId="0"/>
    <xf numFmtId="0" fontId="9" fillId="0" borderId="0"/>
  </cellStyleXfs>
  <cellXfs count="3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7" fontId="6" fillId="0" borderId="1" xfId="0" applyNumberFormat="1" applyFont="1" applyBorder="1" applyAlignment="1">
      <alignment horizontal="right" vertical="center"/>
    </xf>
    <xf numFmtId="0" fontId="0" fillId="0" borderId="1" xfId="0" applyBorder="1"/>
    <xf numFmtId="0" fontId="3" fillId="0" borderId="4" xfId="0" applyFont="1" applyBorder="1"/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164" fontId="0" fillId="0" borderId="1" xfId="0" applyNumberFormat="1" applyBorder="1" applyAlignment="1">
      <alignment horizontal="right" vertical="center"/>
    </xf>
    <xf numFmtId="168" fontId="6" fillId="0" borderId="1" xfId="0" applyNumberFormat="1" applyFont="1" applyBorder="1" applyAlignment="1">
      <alignment horizontal="right" vertical="center"/>
    </xf>
    <xf numFmtId="0" fontId="9" fillId="0" borderId="0" xfId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5" fillId="3" borderId="1" xfId="0" applyFont="1" applyFill="1" applyBorder="1" applyAlignment="1">
      <alignment horizontal="left" vertical="center"/>
    </xf>
    <xf numFmtId="164" fontId="10" fillId="0" borderId="1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7" fontId="10" fillId="0" borderId="1" xfId="0" applyNumberFormat="1" applyFont="1" applyBorder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165" fontId="10" fillId="0" borderId="1" xfId="0" applyNumberFormat="1" applyFont="1" applyBorder="1" applyAlignment="1">
      <alignment horizontal="right" vertical="center"/>
    </xf>
    <xf numFmtId="166" fontId="10" fillId="0" borderId="1" xfId="0" applyNumberFormat="1" applyFont="1" applyBorder="1" applyAlignment="1">
      <alignment horizontal="right" vertical="center"/>
    </xf>
    <xf numFmtId="165" fontId="10" fillId="5" borderId="1" xfId="0" applyNumberFormat="1" applyFont="1" applyFill="1" applyBorder="1" applyAlignment="1">
      <alignment horizontal="right" vertical="center"/>
    </xf>
  </cellXfs>
  <cellStyles count="2">
    <cellStyle name="Hyperlink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49</xdr:row>
      <xdr:rowOff>114300</xdr:rowOff>
    </xdr:to>
    <xdr:sp macro="" textlink="">
      <xdr:nvSpPr>
        <xdr:cNvPr id="1342" name="Text Box 318" hidden="1">
          <a:extLst>
            <a:ext uri="{FF2B5EF4-FFF2-40B4-BE49-F238E27FC236}">
              <a16:creationId xmlns:a16="http://schemas.microsoft.com/office/drawing/2014/main" id="{87B18585-1708-C44E-84E2-03838331D75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590550</xdr:colOff>
      <xdr:row>49</xdr:row>
      <xdr:rowOff>114300</xdr:rowOff>
    </xdr:to>
    <xdr:sp macro="" textlink="">
      <xdr:nvSpPr>
        <xdr:cNvPr id="2063" name="Text Box 15" hidden="1">
          <a:extLst>
            <a:ext uri="{FF2B5EF4-FFF2-40B4-BE49-F238E27FC236}">
              <a16:creationId xmlns:a16="http://schemas.microsoft.com/office/drawing/2014/main" id="{48A5E053-A6DE-2BA4-4B20-8FCC483554A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114300</xdr:colOff>
      <xdr:row>49</xdr:row>
      <xdr:rowOff>114300</xdr:rowOff>
    </xdr:to>
    <xdr:sp macro="" textlink="">
      <xdr:nvSpPr>
        <xdr:cNvPr id="3094" name="Text Box 22" hidden="1">
          <a:extLst>
            <a:ext uri="{FF2B5EF4-FFF2-40B4-BE49-F238E27FC236}">
              <a16:creationId xmlns:a16="http://schemas.microsoft.com/office/drawing/2014/main" id="{8D52A049-151D-FFD5-558C-B13CD4FB319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114300</xdr:colOff>
      <xdr:row>49</xdr:row>
      <xdr:rowOff>114300</xdr:rowOff>
    </xdr:to>
    <xdr:sp macro="" textlink="">
      <xdr:nvSpPr>
        <xdr:cNvPr id="4117" name="Text Box 21" hidden="1">
          <a:extLst>
            <a:ext uri="{FF2B5EF4-FFF2-40B4-BE49-F238E27FC236}">
              <a16:creationId xmlns:a16="http://schemas.microsoft.com/office/drawing/2014/main" id="{D1A6E62A-8F6B-41EE-BD6D-256386ED024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7"/>
  <sheetViews>
    <sheetView showGridLines="0" tabSelected="1" topLeftCell="A37" workbookViewId="0">
      <selection activeCell="E59" sqref="E59"/>
    </sheetView>
  </sheetViews>
  <sheetFormatPr defaultRowHeight="15" x14ac:dyDescent="0.25"/>
  <cols>
    <col min="1" max="1" width="44" customWidth="1"/>
    <col min="2" max="8" width="14" customWidth="1"/>
  </cols>
  <sheetData>
    <row r="1" spans="1:8" ht="21" x14ac:dyDescent="0.25">
      <c r="A1" s="1" t="s">
        <v>0</v>
      </c>
    </row>
    <row r="2" spans="1:8" x14ac:dyDescent="0.25">
      <c r="A2" s="2" t="s">
        <v>1</v>
      </c>
    </row>
    <row r="3" spans="1:8" x14ac:dyDescent="0.25">
      <c r="A3" s="3" t="s">
        <v>2</v>
      </c>
      <c r="B3" s="3" t="s">
        <v>3</v>
      </c>
    </row>
    <row r="4" spans="1:8" x14ac:dyDescent="0.25">
      <c r="A4" s="3" t="s">
        <v>4</v>
      </c>
      <c r="B4" s="3" t="s">
        <v>5</v>
      </c>
    </row>
    <row r="5" spans="1:8" x14ac:dyDescent="0.25">
      <c r="A5" s="28" t="s">
        <v>6</v>
      </c>
      <c r="B5" s="26"/>
      <c r="C5" s="26"/>
      <c r="D5" s="26"/>
      <c r="E5" s="26"/>
      <c r="F5" s="26"/>
      <c r="G5" s="26"/>
      <c r="H5" s="27"/>
    </row>
    <row r="6" spans="1:8" x14ac:dyDescent="0.25">
      <c r="A6" s="4" t="s">
        <v>7</v>
      </c>
      <c r="B6" s="5" t="s">
        <v>8</v>
      </c>
      <c r="C6" s="5" t="s">
        <v>8</v>
      </c>
      <c r="D6" s="5" t="s">
        <v>8</v>
      </c>
      <c r="E6" s="29">
        <v>461973</v>
      </c>
      <c r="F6" s="29">
        <v>492451</v>
      </c>
      <c r="G6" s="29">
        <v>519862</v>
      </c>
      <c r="H6" s="29">
        <v>545618</v>
      </c>
    </row>
    <row r="7" spans="1:8" x14ac:dyDescent="0.25">
      <c r="A7" s="4" t="s">
        <v>9</v>
      </c>
      <c r="B7" s="5" t="s">
        <v>8</v>
      </c>
      <c r="C7" s="5" t="s">
        <v>8</v>
      </c>
      <c r="D7" s="5" t="s">
        <v>8</v>
      </c>
      <c r="E7" s="29">
        <v>220572</v>
      </c>
      <c r="F7" s="29">
        <v>234902</v>
      </c>
      <c r="G7" s="29">
        <v>253069</v>
      </c>
      <c r="H7" s="29">
        <v>243451</v>
      </c>
    </row>
    <row r="8" spans="1:8" x14ac:dyDescent="0.25">
      <c r="A8" s="4" t="s">
        <v>10</v>
      </c>
      <c r="B8" s="5" t="s">
        <v>8</v>
      </c>
      <c r="C8" s="5" t="s">
        <v>8</v>
      </c>
      <c r="D8" s="5" t="s">
        <v>8</v>
      </c>
      <c r="E8" s="29">
        <v>43131</v>
      </c>
      <c r="F8" s="29">
        <v>46077</v>
      </c>
      <c r="G8" s="29">
        <v>48308</v>
      </c>
      <c r="H8" s="29">
        <v>47917</v>
      </c>
    </row>
    <row r="9" spans="1:8" x14ac:dyDescent="0.25">
      <c r="A9" s="4" t="s">
        <v>11</v>
      </c>
      <c r="B9" s="7" t="s">
        <v>8</v>
      </c>
      <c r="C9" s="7" t="s">
        <v>8</v>
      </c>
      <c r="D9" s="7" t="s">
        <v>8</v>
      </c>
      <c r="E9" s="32">
        <v>29788</v>
      </c>
      <c r="F9" s="32">
        <v>31249</v>
      </c>
      <c r="G9" s="32">
        <v>33001</v>
      </c>
      <c r="H9" s="32">
        <v>32240</v>
      </c>
    </row>
    <row r="10" spans="1:8" x14ac:dyDescent="0.25">
      <c r="A10" s="4" t="s">
        <v>12</v>
      </c>
      <c r="B10" s="5" t="s">
        <v>8</v>
      </c>
      <c r="C10" s="5" t="s">
        <v>8</v>
      </c>
      <c r="D10" s="5" t="s">
        <v>8</v>
      </c>
      <c r="E10" s="29">
        <v>148804</v>
      </c>
      <c r="F10" s="29">
        <v>159104</v>
      </c>
      <c r="G10" s="29">
        <v>171280</v>
      </c>
      <c r="H10" s="29">
        <v>171355</v>
      </c>
    </row>
    <row r="11" spans="1:8" x14ac:dyDescent="0.25">
      <c r="A11" s="4" t="s">
        <v>13</v>
      </c>
      <c r="B11" s="5" t="s">
        <v>8</v>
      </c>
      <c r="C11" s="5" t="s">
        <v>8</v>
      </c>
      <c r="D11" s="5" t="s">
        <v>8</v>
      </c>
      <c r="E11" s="29">
        <v>149835</v>
      </c>
      <c r="F11" s="29">
        <v>160028</v>
      </c>
      <c r="G11" s="29">
        <v>172305</v>
      </c>
      <c r="H11" s="29">
        <v>183720</v>
      </c>
    </row>
    <row r="12" spans="1:8" x14ac:dyDescent="0.25">
      <c r="A12" s="4" t="s">
        <v>14</v>
      </c>
      <c r="B12" s="5" t="s">
        <v>8</v>
      </c>
      <c r="C12" s="5" t="s">
        <v>8</v>
      </c>
      <c r="D12" s="5" t="s">
        <v>8</v>
      </c>
      <c r="E12" s="29">
        <v>123613</v>
      </c>
      <c r="F12" s="29">
        <v>132562</v>
      </c>
      <c r="G12" s="29">
        <v>143185</v>
      </c>
      <c r="H12" s="29">
        <v>153917</v>
      </c>
    </row>
    <row r="13" spans="1:8" x14ac:dyDescent="0.25">
      <c r="A13" s="4" t="s">
        <v>15</v>
      </c>
      <c r="B13" s="5" t="s">
        <v>8</v>
      </c>
      <c r="C13" s="5" t="s">
        <v>8</v>
      </c>
      <c r="D13" s="5" t="s">
        <v>8</v>
      </c>
      <c r="E13" s="33">
        <v>8.4499999999999993</v>
      </c>
      <c r="F13" s="33">
        <v>9.26</v>
      </c>
      <c r="G13" s="33">
        <v>10.220000000000001</v>
      </c>
      <c r="H13" s="33">
        <v>11.28</v>
      </c>
    </row>
    <row r="14" spans="1:8" x14ac:dyDescent="0.25">
      <c r="A14" s="4" t="s">
        <v>16</v>
      </c>
      <c r="B14" s="5" t="s">
        <v>8</v>
      </c>
      <c r="C14" s="5" t="s">
        <v>8</v>
      </c>
      <c r="D14" s="5" t="s">
        <v>8</v>
      </c>
      <c r="E14" s="33">
        <v>1.07</v>
      </c>
      <c r="F14" s="33">
        <v>1.1200000000000001</v>
      </c>
      <c r="G14" s="33">
        <v>1.17</v>
      </c>
      <c r="H14" s="33">
        <v>1.07</v>
      </c>
    </row>
    <row r="15" spans="1:8" x14ac:dyDescent="0.25">
      <c r="A15" s="4" t="s">
        <v>17</v>
      </c>
      <c r="B15" s="5" t="s">
        <v>8</v>
      </c>
      <c r="C15" s="5" t="s">
        <v>8</v>
      </c>
      <c r="D15" s="5" t="s">
        <v>8</v>
      </c>
      <c r="E15" s="29">
        <v>12977</v>
      </c>
      <c r="F15" s="29">
        <v>14586</v>
      </c>
      <c r="G15" s="29">
        <v>14643</v>
      </c>
      <c r="H15" s="29">
        <v>16288</v>
      </c>
    </row>
    <row r="16" spans="1:8" x14ac:dyDescent="0.25">
      <c r="A16" s="4" t="s">
        <v>18</v>
      </c>
      <c r="B16" s="5" t="s">
        <v>8</v>
      </c>
      <c r="C16" s="5" t="s">
        <v>8</v>
      </c>
      <c r="D16" s="5" t="s">
        <v>8</v>
      </c>
      <c r="E16" s="29">
        <v>382718</v>
      </c>
      <c r="F16" s="29">
        <v>416546</v>
      </c>
      <c r="G16" s="29">
        <v>461473</v>
      </c>
      <c r="H16" s="29">
        <v>347341</v>
      </c>
    </row>
    <row r="17" spans="1:8" x14ac:dyDescent="0.25">
      <c r="A17" s="4" t="s">
        <v>19</v>
      </c>
      <c r="B17" s="5" t="s">
        <v>8</v>
      </c>
      <c r="C17" s="5" t="s">
        <v>8</v>
      </c>
      <c r="D17" s="5" t="s">
        <v>8</v>
      </c>
      <c r="E17" s="29">
        <v>96102</v>
      </c>
      <c r="F17" s="29">
        <v>127895</v>
      </c>
      <c r="G17" s="29">
        <v>176051</v>
      </c>
      <c r="H17" s="5" t="s">
        <v>8</v>
      </c>
    </row>
    <row r="18" spans="1:8" x14ac:dyDescent="0.25">
      <c r="A18" s="4" t="s">
        <v>20</v>
      </c>
      <c r="B18" s="5" t="s">
        <v>8</v>
      </c>
      <c r="C18" s="5" t="s">
        <v>8</v>
      </c>
      <c r="D18" s="5" t="s">
        <v>8</v>
      </c>
      <c r="E18" s="29">
        <v>144872</v>
      </c>
      <c r="F18" s="29">
        <v>159194</v>
      </c>
      <c r="G18" s="29">
        <v>172813</v>
      </c>
      <c r="H18" s="5" t="s">
        <v>8</v>
      </c>
    </row>
    <row r="19" spans="1:8" x14ac:dyDescent="0.25">
      <c r="A19" s="4" t="s">
        <v>21</v>
      </c>
      <c r="B19" s="5" t="s">
        <v>8</v>
      </c>
      <c r="C19" s="5" t="s">
        <v>8</v>
      </c>
      <c r="D19" s="5" t="s">
        <v>8</v>
      </c>
      <c r="E19" s="29">
        <v>-12322</v>
      </c>
      <c r="F19" s="29">
        <v>-6859</v>
      </c>
      <c r="G19" s="29">
        <v>-13600</v>
      </c>
      <c r="H19" s="5" t="s">
        <v>8</v>
      </c>
    </row>
    <row r="20" spans="1:8" x14ac:dyDescent="0.25">
      <c r="A20" s="4" t="s">
        <v>22</v>
      </c>
      <c r="B20" s="5" t="s">
        <v>8</v>
      </c>
      <c r="C20" s="5" t="s">
        <v>8</v>
      </c>
      <c r="D20" s="5" t="s">
        <v>8</v>
      </c>
      <c r="E20" s="29">
        <v>-120707</v>
      </c>
      <c r="F20" s="29">
        <v>-117950</v>
      </c>
      <c r="G20" s="29">
        <v>-124193</v>
      </c>
      <c r="H20" s="5" t="s">
        <v>8</v>
      </c>
    </row>
    <row r="21" spans="1:8" x14ac:dyDescent="0.25">
      <c r="A21" s="4" t="s">
        <v>23</v>
      </c>
      <c r="B21" s="5" t="s">
        <v>8</v>
      </c>
      <c r="C21" s="5" t="s">
        <v>8</v>
      </c>
      <c r="D21" s="5" t="s">
        <v>8</v>
      </c>
      <c r="E21" s="29">
        <v>133949</v>
      </c>
      <c r="F21" s="29">
        <v>140289</v>
      </c>
      <c r="G21" s="29">
        <v>152281</v>
      </c>
      <c r="H21" s="29">
        <v>166252</v>
      </c>
    </row>
    <row r="23" spans="1:8" x14ac:dyDescent="0.25">
      <c r="A23" s="28" t="s">
        <v>24</v>
      </c>
      <c r="B23" s="26"/>
      <c r="C23" s="26"/>
      <c r="D23" s="26"/>
      <c r="E23" s="26"/>
      <c r="F23" s="26"/>
      <c r="G23" s="26"/>
      <c r="H23" s="27"/>
    </row>
    <row r="24" spans="1:8" x14ac:dyDescent="0.25">
      <c r="A24" s="4" t="s">
        <v>25</v>
      </c>
      <c r="B24" s="34">
        <v>0.2435069762375037</v>
      </c>
      <c r="C24" s="5" t="s">
        <v>8</v>
      </c>
      <c r="D24" s="5" t="s">
        <v>8</v>
      </c>
      <c r="E24" s="5" t="s">
        <v>8</v>
      </c>
      <c r="F24" s="5" t="s">
        <v>8</v>
      </c>
      <c r="G24" s="5" t="s">
        <v>8</v>
      </c>
      <c r="H24" s="5" t="s">
        <v>8</v>
      </c>
    </row>
    <row r="25" spans="1:8" x14ac:dyDescent="0.25">
      <c r="A25" s="4" t="s">
        <v>26</v>
      </c>
      <c r="B25" s="34">
        <v>7.2531375449714539E-2</v>
      </c>
      <c r="C25" s="5" t="s">
        <v>8</v>
      </c>
      <c r="D25" s="5" t="s">
        <v>8</v>
      </c>
      <c r="E25" s="5" t="s">
        <v>8</v>
      </c>
      <c r="F25" s="5" t="s">
        <v>8</v>
      </c>
      <c r="G25" s="5" t="s">
        <v>8</v>
      </c>
      <c r="H25" s="5" t="s">
        <v>8</v>
      </c>
    </row>
    <row r="26" spans="1:8" x14ac:dyDescent="0.25">
      <c r="A26" s="4" t="s">
        <v>27</v>
      </c>
      <c r="B26" s="34">
        <v>0.22767477367926339</v>
      </c>
      <c r="C26" s="5" t="s">
        <v>8</v>
      </c>
      <c r="D26" s="5" t="s">
        <v>8</v>
      </c>
      <c r="E26" s="5" t="s">
        <v>8</v>
      </c>
      <c r="F26" s="5" t="s">
        <v>8</v>
      </c>
      <c r="G26" s="5" t="s">
        <v>8</v>
      </c>
      <c r="H26" s="5" t="s">
        <v>8</v>
      </c>
    </row>
    <row r="27" spans="1:8" x14ac:dyDescent="0.25">
      <c r="A27" s="4" t="s">
        <v>28</v>
      </c>
      <c r="B27" s="34">
        <v>8.6002605828644954E-2</v>
      </c>
      <c r="C27" s="5" t="s">
        <v>8</v>
      </c>
      <c r="D27" s="5" t="s">
        <v>8</v>
      </c>
      <c r="E27" s="5" t="s">
        <v>8</v>
      </c>
      <c r="F27" s="5" t="s">
        <v>8</v>
      </c>
      <c r="G27" s="5" t="s">
        <v>8</v>
      </c>
      <c r="H27" s="5" t="s">
        <v>8</v>
      </c>
    </row>
    <row r="28" spans="1:8" x14ac:dyDescent="0.25">
      <c r="A28" s="4" t="s">
        <v>29</v>
      </c>
      <c r="B28" s="34">
        <v>8.1939125893781842E-2</v>
      </c>
      <c r="C28" s="5" t="s">
        <v>8</v>
      </c>
      <c r="D28" s="5" t="s">
        <v>8</v>
      </c>
      <c r="E28" s="5" t="s">
        <v>8</v>
      </c>
      <c r="F28" s="5" t="s">
        <v>8</v>
      </c>
      <c r="G28" s="5" t="s">
        <v>8</v>
      </c>
      <c r="H28" s="5" t="s">
        <v>8</v>
      </c>
    </row>
    <row r="29" spans="1:8" x14ac:dyDescent="0.25">
      <c r="A29" s="4" t="s">
        <v>30</v>
      </c>
      <c r="B29" s="34">
        <v>1.6296737592146442E-2</v>
      </c>
      <c r="C29" s="5" t="s">
        <v>8</v>
      </c>
      <c r="D29" s="5" t="s">
        <v>8</v>
      </c>
      <c r="E29" s="5" t="s">
        <v>8</v>
      </c>
      <c r="F29" s="5" t="s">
        <v>8</v>
      </c>
      <c r="G29" s="5" t="s">
        <v>8</v>
      </c>
      <c r="H29" s="5" t="s">
        <v>8</v>
      </c>
    </row>
    <row r="30" spans="1:8" x14ac:dyDescent="0.25">
      <c r="A30" s="4" t="s">
        <v>31</v>
      </c>
      <c r="B30" s="34">
        <v>3.6640840210214819E-2</v>
      </c>
      <c r="C30" s="5" t="s">
        <v>8</v>
      </c>
      <c r="D30" s="5" t="s">
        <v>8</v>
      </c>
      <c r="E30" s="5" t="s">
        <v>8</v>
      </c>
      <c r="F30" s="5" t="s">
        <v>8</v>
      </c>
      <c r="G30" s="5" t="s">
        <v>8</v>
      </c>
      <c r="H30" s="5" t="s">
        <v>8</v>
      </c>
    </row>
    <row r="31" spans="1:8" x14ac:dyDescent="0.25">
      <c r="A31" s="4" t="s">
        <v>32</v>
      </c>
      <c r="B31" s="34">
        <v>0.16919128830911129</v>
      </c>
      <c r="C31" s="5" t="s">
        <v>8</v>
      </c>
      <c r="D31" s="5" t="s">
        <v>8</v>
      </c>
      <c r="E31" s="5" t="s">
        <v>8</v>
      </c>
      <c r="F31" s="5" t="s">
        <v>8</v>
      </c>
      <c r="G31" s="5" t="s">
        <v>8</v>
      </c>
      <c r="H31" s="5" t="s">
        <v>8</v>
      </c>
    </row>
    <row r="32" spans="1:8" x14ac:dyDescent="0.25">
      <c r="A32" s="4" t="s">
        <v>33</v>
      </c>
      <c r="B32" s="34">
        <v>0.17108558838672641</v>
      </c>
      <c r="C32" s="5" t="s">
        <v>8</v>
      </c>
      <c r="D32" s="5" t="s">
        <v>8</v>
      </c>
      <c r="E32" s="5" t="s">
        <v>8</v>
      </c>
      <c r="F32" s="5" t="s">
        <v>8</v>
      </c>
      <c r="G32" s="5" t="s">
        <v>8</v>
      </c>
      <c r="H32" s="5" t="s">
        <v>8</v>
      </c>
    </row>
    <row r="33" spans="1:8" x14ac:dyDescent="0.25">
      <c r="A33" s="4" t="s">
        <v>34</v>
      </c>
      <c r="B33" s="34">
        <v>2.129501726903741E-2</v>
      </c>
      <c r="C33" s="5" t="s">
        <v>8</v>
      </c>
      <c r="D33" s="5" t="s">
        <v>8</v>
      </c>
      <c r="E33" s="5" t="s">
        <v>8</v>
      </c>
      <c r="F33" s="5" t="s">
        <v>8</v>
      </c>
      <c r="G33" s="5" t="s">
        <v>8</v>
      </c>
      <c r="H33" s="5" t="s">
        <v>8</v>
      </c>
    </row>
    <row r="34" spans="1:8" x14ac:dyDescent="0.25">
      <c r="A34" s="4" t="s">
        <v>35</v>
      </c>
      <c r="B34" s="34">
        <v>2.0092215836882421E-2</v>
      </c>
      <c r="C34" s="5" t="s">
        <v>8</v>
      </c>
      <c r="D34" s="5" t="s">
        <v>8</v>
      </c>
      <c r="E34" s="5" t="s">
        <v>8</v>
      </c>
      <c r="F34" s="5" t="s">
        <v>8</v>
      </c>
      <c r="G34" s="5" t="s">
        <v>8</v>
      </c>
      <c r="H34" s="5" t="s">
        <v>8</v>
      </c>
    </row>
    <row r="35" spans="1:8" x14ac:dyDescent="0.25">
      <c r="A35" s="4" t="s">
        <v>36</v>
      </c>
      <c r="B35" s="34">
        <v>2.7735761683854211E-2</v>
      </c>
      <c r="C35" s="5" t="s">
        <v>8</v>
      </c>
      <c r="D35" s="5" t="s">
        <v>8</v>
      </c>
      <c r="E35" s="5" t="s">
        <v>8</v>
      </c>
      <c r="F35" s="5" t="s">
        <v>8</v>
      </c>
      <c r="G35" s="5" t="s">
        <v>8</v>
      </c>
      <c r="H35" s="5" t="s">
        <v>8</v>
      </c>
    </row>
    <row r="36" spans="1:8" x14ac:dyDescent="0.25">
      <c r="A36" s="4" t="s">
        <v>37</v>
      </c>
      <c r="B36" s="34">
        <v>0.2186986421055267</v>
      </c>
      <c r="C36" s="5" t="s">
        <v>8</v>
      </c>
      <c r="D36" s="5" t="s">
        <v>8</v>
      </c>
      <c r="E36" s="5" t="s">
        <v>8</v>
      </c>
      <c r="F36" s="5" t="s">
        <v>8</v>
      </c>
      <c r="G36" s="5" t="s">
        <v>8</v>
      </c>
      <c r="H36" s="5" t="s">
        <v>8</v>
      </c>
    </row>
    <row r="37" spans="1:8" x14ac:dyDescent="0.25">
      <c r="A37" s="4" t="s">
        <v>38</v>
      </c>
      <c r="B37" s="34">
        <v>2.9687394010398771E-2</v>
      </c>
      <c r="C37" s="5" t="s">
        <v>8</v>
      </c>
      <c r="D37" s="5" t="s">
        <v>8</v>
      </c>
      <c r="E37" s="5" t="s">
        <v>8</v>
      </c>
      <c r="F37" s="5" t="s">
        <v>8</v>
      </c>
      <c r="G37" s="5" t="s">
        <v>8</v>
      </c>
      <c r="H37" s="5" t="s">
        <v>8</v>
      </c>
    </row>
    <row r="38" spans="1:8" x14ac:dyDescent="0.25">
      <c r="A38" s="4" t="s">
        <v>39</v>
      </c>
      <c r="B38" s="34">
        <v>0.18</v>
      </c>
      <c r="C38" s="5" t="s">
        <v>8</v>
      </c>
      <c r="D38" s="5" t="s">
        <v>8</v>
      </c>
      <c r="E38" s="5" t="s">
        <v>8</v>
      </c>
      <c r="F38" s="5" t="s">
        <v>8</v>
      </c>
      <c r="G38" s="5" t="s">
        <v>8</v>
      </c>
      <c r="H38" s="5" t="s">
        <v>8</v>
      </c>
    </row>
    <row r="39" spans="1:8" x14ac:dyDescent="0.25">
      <c r="A39" s="4" t="s">
        <v>40</v>
      </c>
      <c r="B39" s="29">
        <v>3698</v>
      </c>
      <c r="C39" s="5" t="s">
        <v>8</v>
      </c>
      <c r="D39" s="5" t="s">
        <v>8</v>
      </c>
      <c r="E39" s="5" t="s">
        <v>8</v>
      </c>
      <c r="F39" s="5" t="s">
        <v>8</v>
      </c>
      <c r="G39" s="5" t="s">
        <v>8</v>
      </c>
      <c r="H39" s="5" t="s">
        <v>8</v>
      </c>
    </row>
    <row r="40" spans="1:8" x14ac:dyDescent="0.25">
      <c r="A40" s="4" t="s">
        <v>41</v>
      </c>
      <c r="B40" s="29">
        <v>224207</v>
      </c>
      <c r="C40" s="5" t="s">
        <v>8</v>
      </c>
      <c r="D40" s="5" t="s">
        <v>8</v>
      </c>
      <c r="E40" s="5" t="s">
        <v>8</v>
      </c>
      <c r="F40" s="5" t="s">
        <v>8</v>
      </c>
      <c r="G40" s="5" t="s">
        <v>8</v>
      </c>
      <c r="H40" s="5" t="s">
        <v>8</v>
      </c>
    </row>
    <row r="42" spans="1:8" x14ac:dyDescent="0.25">
      <c r="A42" s="28" t="s">
        <v>42</v>
      </c>
      <c r="B42" s="26"/>
      <c r="C42" s="26"/>
      <c r="D42" s="26"/>
      <c r="E42" s="26"/>
      <c r="F42" s="26"/>
      <c r="G42" s="26"/>
      <c r="H42" s="27"/>
    </row>
    <row r="43" spans="1:8" x14ac:dyDescent="0.25">
      <c r="A43" s="25" t="s">
        <v>43</v>
      </c>
      <c r="B43" s="26"/>
      <c r="C43" s="26"/>
      <c r="D43" s="26"/>
      <c r="E43" s="26"/>
      <c r="F43" s="26"/>
      <c r="G43" s="26"/>
      <c r="H43" s="27"/>
    </row>
    <row r="44" spans="1:8" x14ac:dyDescent="0.25">
      <c r="A44" s="9" t="s">
        <v>44</v>
      </c>
      <c r="B44" s="29">
        <v>298085</v>
      </c>
      <c r="C44" s="29">
        <v>294866</v>
      </c>
      <c r="D44" s="29">
        <v>307003</v>
      </c>
      <c r="E44" s="10">
        <f>E46-E45</f>
        <v>349479.3516666317</v>
      </c>
      <c r="F44" s="10">
        <f>F46-F45</f>
        <v>372535.74604486505</v>
      </c>
      <c r="G44" s="10">
        <f>G46-G45</f>
        <v>393271.97631921887</v>
      </c>
      <c r="H44" s="10">
        <f>H46-H45</f>
        <v>412756.21063924569</v>
      </c>
    </row>
    <row r="45" spans="1:8" x14ac:dyDescent="0.25">
      <c r="A45" s="9" t="s">
        <v>45</v>
      </c>
      <c r="B45" s="29">
        <v>85200</v>
      </c>
      <c r="C45" s="29">
        <v>96169</v>
      </c>
      <c r="D45" s="29">
        <v>109158</v>
      </c>
      <c r="E45" s="10">
        <f>E6*$B$24</f>
        <v>112493.6483333683</v>
      </c>
      <c r="F45" s="10">
        <f>F6*$B$24</f>
        <v>119915.25395513493</v>
      </c>
      <c r="G45" s="10">
        <f>G6*$B$24</f>
        <v>126590.02368078115</v>
      </c>
      <c r="H45" s="10">
        <f>H6*$B$24</f>
        <v>132861.78936075428</v>
      </c>
    </row>
    <row r="46" spans="1:8" x14ac:dyDescent="0.25">
      <c r="A46" s="11" t="s">
        <v>46</v>
      </c>
      <c r="B46" s="30">
        <v>383285</v>
      </c>
      <c r="C46" s="30">
        <v>391035</v>
      </c>
      <c r="D46" s="30">
        <v>416161</v>
      </c>
      <c r="E46" s="13">
        <f>E6+E6*0</f>
        <v>461973</v>
      </c>
      <c r="F46" s="13">
        <f>F6+F6*0</f>
        <v>492451</v>
      </c>
      <c r="G46" s="13">
        <f>G6+G6*0</f>
        <v>519862</v>
      </c>
      <c r="H46" s="13">
        <f>H6+H6*0</f>
        <v>545618</v>
      </c>
    </row>
    <row r="47" spans="1:8" x14ac:dyDescent="0.25">
      <c r="A47" s="25" t="s">
        <v>47</v>
      </c>
      <c r="B47" s="26"/>
      <c r="C47" s="26"/>
      <c r="D47" s="26"/>
      <c r="E47" s="26"/>
      <c r="F47" s="26"/>
      <c r="G47" s="26"/>
      <c r="H47" s="27"/>
    </row>
    <row r="48" spans="1:8" x14ac:dyDescent="0.25">
      <c r="A48" s="9" t="s">
        <v>44</v>
      </c>
      <c r="B48" s="29">
        <v>189282</v>
      </c>
      <c r="C48" s="29">
        <v>185233</v>
      </c>
      <c r="D48" s="29">
        <v>194116</v>
      </c>
      <c r="E48" s="10">
        <f>E50*(E44/E46)</f>
        <v>182618.17242929037</v>
      </c>
      <c r="F48" s="10">
        <f>F50*(F44/F46)</f>
        <v>194834.02177700715</v>
      </c>
      <c r="G48" s="10">
        <f>G50*(G44/G46)</f>
        <v>201827.04328866769</v>
      </c>
      <c r="H48" s="10">
        <f>H50*(H44/H46)</f>
        <v>228587.22751124221</v>
      </c>
    </row>
    <row r="49" spans="1:10" x14ac:dyDescent="0.25">
      <c r="A49" s="9" t="s">
        <v>45</v>
      </c>
      <c r="B49" s="29">
        <v>24855</v>
      </c>
      <c r="C49" s="29">
        <v>25119</v>
      </c>
      <c r="D49" s="29">
        <v>26844</v>
      </c>
      <c r="E49" s="10">
        <f>E50*(E45/E46)</f>
        <v>58782.827570709633</v>
      </c>
      <c r="F49" s="10">
        <f>F50*(F45/F46)</f>
        <v>62714.978222992839</v>
      </c>
      <c r="G49" s="10">
        <f>G50*(G45/G46)</f>
        <v>64965.956711332321</v>
      </c>
      <c r="H49" s="10">
        <f>H50*(H45/H46)</f>
        <v>73579.772488757764</v>
      </c>
    </row>
    <row r="50" spans="1:10" x14ac:dyDescent="0.25">
      <c r="A50" s="11" t="s">
        <v>48</v>
      </c>
      <c r="B50" s="30">
        <v>214137</v>
      </c>
      <c r="C50" s="30">
        <v>210352</v>
      </c>
      <c r="D50" s="30">
        <v>220960</v>
      </c>
      <c r="E50" s="12">
        <f>E46-E51</f>
        <v>241401</v>
      </c>
      <c r="F50" s="12">
        <f>F46-F51</f>
        <v>257549</v>
      </c>
      <c r="G50" s="12">
        <f>G46-G51</f>
        <v>266793</v>
      </c>
      <c r="H50" s="12">
        <f>H46-H51</f>
        <v>302167</v>
      </c>
    </row>
    <row r="51" spans="1:10" x14ac:dyDescent="0.25">
      <c r="A51" s="11" t="s">
        <v>49</v>
      </c>
      <c r="B51" s="30">
        <v>169148</v>
      </c>
      <c r="C51" s="30">
        <v>180683</v>
      </c>
      <c r="D51" s="30">
        <v>195201</v>
      </c>
      <c r="E51" s="30">
        <v>220572</v>
      </c>
      <c r="F51" s="30">
        <v>234902</v>
      </c>
      <c r="G51" s="30">
        <v>253069</v>
      </c>
      <c r="H51" s="30">
        <v>243451</v>
      </c>
      <c r="J51" t="s">
        <v>178</v>
      </c>
    </row>
    <row r="52" spans="1:10" x14ac:dyDescent="0.25">
      <c r="A52" s="25" t="s">
        <v>50</v>
      </c>
      <c r="B52" s="26"/>
      <c r="C52" s="26"/>
      <c r="D52" s="26"/>
      <c r="E52" s="26"/>
      <c r="F52" s="26"/>
      <c r="G52" s="26"/>
      <c r="H52" s="27"/>
    </row>
    <row r="53" spans="1:10" x14ac:dyDescent="0.25">
      <c r="A53" s="9" t="s">
        <v>51</v>
      </c>
      <c r="B53" s="29">
        <v>29915</v>
      </c>
      <c r="C53" s="29">
        <v>31370</v>
      </c>
      <c r="D53" s="29">
        <v>34550</v>
      </c>
      <c r="E53" s="29">
        <v>43131</v>
      </c>
      <c r="F53" s="29">
        <v>46077</v>
      </c>
      <c r="G53" s="29">
        <v>48308</v>
      </c>
      <c r="H53" s="29">
        <v>47917</v>
      </c>
      <c r="J53" t="s">
        <v>170</v>
      </c>
    </row>
    <row r="54" spans="1:10" x14ac:dyDescent="0.25">
      <c r="A54" s="9" t="s">
        <v>52</v>
      </c>
      <c r="B54" s="29">
        <v>24932</v>
      </c>
      <c r="C54" s="29">
        <v>26097</v>
      </c>
      <c r="D54" s="29">
        <v>27601</v>
      </c>
      <c r="E54" s="29">
        <v>29788</v>
      </c>
      <c r="F54" s="29">
        <v>31249</v>
      </c>
      <c r="G54" s="29">
        <v>33001</v>
      </c>
      <c r="H54" s="29">
        <v>32240</v>
      </c>
      <c r="J54" t="s">
        <v>170</v>
      </c>
    </row>
    <row r="55" spans="1:10" x14ac:dyDescent="0.25">
      <c r="A55" s="11" t="s">
        <v>53</v>
      </c>
      <c r="B55" s="30">
        <v>54847</v>
      </c>
      <c r="C55" s="30">
        <v>57467</v>
      </c>
      <c r="D55" s="30">
        <v>62151</v>
      </c>
      <c r="E55" s="12">
        <f>E53+E54</f>
        <v>72919</v>
      </c>
      <c r="F55" s="12">
        <f>F53+F54</f>
        <v>77326</v>
      </c>
      <c r="G55" s="12">
        <f>G53+G54</f>
        <v>81309</v>
      </c>
      <c r="H55" s="12">
        <f>H53+H54</f>
        <v>80157</v>
      </c>
    </row>
    <row r="56" spans="1:10" x14ac:dyDescent="0.25">
      <c r="A56" s="9" t="s">
        <v>54</v>
      </c>
      <c r="B56" s="29">
        <v>114301</v>
      </c>
      <c r="C56" s="29">
        <v>123216</v>
      </c>
      <c r="D56" s="29">
        <v>133050</v>
      </c>
      <c r="E56" s="10">
        <f>E51-E55</f>
        <v>147653</v>
      </c>
      <c r="F56" s="10">
        <f>F51-F55</f>
        <v>157576</v>
      </c>
      <c r="G56" s="10">
        <f>G51-G55</f>
        <v>171760</v>
      </c>
      <c r="H56" s="10">
        <f>H51-H55</f>
        <v>163294</v>
      </c>
    </row>
    <row r="57" spans="1:10" x14ac:dyDescent="0.25">
      <c r="A57" s="9" t="s">
        <v>55</v>
      </c>
      <c r="B57" s="29">
        <v>-565</v>
      </c>
      <c r="C57" s="29">
        <v>269</v>
      </c>
      <c r="D57" s="29">
        <v>-321</v>
      </c>
      <c r="E57" s="10">
        <f>E58-E56</f>
        <v>2182</v>
      </c>
      <c r="F57" s="10">
        <f>F58-F56</f>
        <v>2452</v>
      </c>
      <c r="G57" s="10">
        <f>G58-G56</f>
        <v>545</v>
      </c>
      <c r="H57" s="10">
        <f>H58-H56</f>
        <v>20426</v>
      </c>
      <c r="J57" t="s">
        <v>171</v>
      </c>
    </row>
    <row r="58" spans="1:10" x14ac:dyDescent="0.25">
      <c r="A58" s="9" t="s">
        <v>56</v>
      </c>
      <c r="B58" s="29">
        <v>113736</v>
      </c>
      <c r="C58" s="29">
        <v>123485</v>
      </c>
      <c r="D58" s="29">
        <v>132729</v>
      </c>
      <c r="E58" s="29">
        <v>149835</v>
      </c>
      <c r="F58" s="29">
        <v>160028</v>
      </c>
      <c r="G58" s="29">
        <v>172305</v>
      </c>
      <c r="H58" s="29">
        <v>183720</v>
      </c>
      <c r="J58" t="s">
        <v>172</v>
      </c>
    </row>
    <row r="59" spans="1:10" x14ac:dyDescent="0.25">
      <c r="A59" s="9" t="s">
        <v>57</v>
      </c>
      <c r="B59" s="29">
        <v>16741</v>
      </c>
      <c r="C59" s="29">
        <v>29749</v>
      </c>
      <c r="D59" s="29">
        <v>20719</v>
      </c>
      <c r="E59" s="10">
        <f>E58-E60</f>
        <v>26222</v>
      </c>
      <c r="F59" s="10">
        <f>F58-F60</f>
        <v>27466</v>
      </c>
      <c r="G59" s="10">
        <f>G58-G60</f>
        <v>29120</v>
      </c>
      <c r="H59" s="10">
        <f>H58-H60</f>
        <v>29803</v>
      </c>
      <c r="J59" t="s">
        <v>173</v>
      </c>
    </row>
    <row r="60" spans="1:10" x14ac:dyDescent="0.25">
      <c r="A60" s="11" t="s">
        <v>58</v>
      </c>
      <c r="B60" s="30">
        <v>96995</v>
      </c>
      <c r="C60" s="30">
        <v>93736</v>
      </c>
      <c r="D60" s="30">
        <v>112010</v>
      </c>
      <c r="E60" s="30">
        <v>123613</v>
      </c>
      <c r="F60" s="30">
        <v>132562</v>
      </c>
      <c r="G60" s="30">
        <v>143185</v>
      </c>
      <c r="H60" s="30">
        <v>153917</v>
      </c>
      <c r="J60" t="s">
        <v>174</v>
      </c>
    </row>
    <row r="61" spans="1:10" x14ac:dyDescent="0.25">
      <c r="A61" s="9" t="s">
        <v>59</v>
      </c>
      <c r="B61" s="31">
        <v>15812.547</v>
      </c>
      <c r="C61" s="31">
        <v>15408.094999999999</v>
      </c>
      <c r="D61" s="31">
        <v>15004.697</v>
      </c>
      <c r="E61" s="15">
        <f>E60/E13</f>
        <v>14628.757396449706</v>
      </c>
      <c r="F61" s="15">
        <f>F60/F13</f>
        <v>14315.550755939525</v>
      </c>
      <c r="G61" s="15">
        <f>G60/G13</f>
        <v>14010.273972602739</v>
      </c>
      <c r="H61" s="15">
        <f>H60/H13</f>
        <v>13645.124113475178</v>
      </c>
      <c r="J61" t="s">
        <v>175</v>
      </c>
    </row>
    <row r="62" spans="1:10" x14ac:dyDescent="0.25">
      <c r="A62" s="9" t="s">
        <v>60</v>
      </c>
      <c r="B62" s="35">
        <v>6.13</v>
      </c>
      <c r="C62" s="35">
        <v>6.08</v>
      </c>
      <c r="D62" s="35">
        <v>7.46</v>
      </c>
      <c r="E62" s="33">
        <v>8.4499999999999993</v>
      </c>
      <c r="F62" s="33">
        <v>9.26</v>
      </c>
      <c r="G62" s="33">
        <v>10.220000000000001</v>
      </c>
      <c r="H62" s="33">
        <v>11.28</v>
      </c>
      <c r="J62" t="s">
        <v>176</v>
      </c>
    </row>
    <row r="63" spans="1:10" x14ac:dyDescent="0.25">
      <c r="A63" s="9" t="s">
        <v>61</v>
      </c>
      <c r="B63" s="10" t="s">
        <v>8</v>
      </c>
      <c r="C63" s="10" t="s">
        <v>8</v>
      </c>
      <c r="D63" s="10" t="s">
        <v>8</v>
      </c>
      <c r="E63" s="10">
        <f>E56-E10</f>
        <v>-1151</v>
      </c>
      <c r="F63" s="10">
        <f>F56-F10</f>
        <v>-1528</v>
      </c>
      <c r="G63" s="10">
        <f>G56-G10</f>
        <v>480</v>
      </c>
      <c r="H63" s="10">
        <f>H56-H10</f>
        <v>-8061</v>
      </c>
      <c r="J63" t="s">
        <v>177</v>
      </c>
    </row>
    <row r="65" spans="1:10" x14ac:dyDescent="0.25">
      <c r="A65" s="28" t="s">
        <v>62</v>
      </c>
      <c r="B65" s="26"/>
      <c r="C65" s="26"/>
      <c r="D65" s="26"/>
      <c r="E65" s="26"/>
      <c r="F65" s="26"/>
      <c r="G65" s="26"/>
      <c r="H65" s="27"/>
      <c r="J65" t="s">
        <v>188</v>
      </c>
    </row>
    <row r="66" spans="1:10" x14ac:dyDescent="0.25">
      <c r="A66" s="9" t="s">
        <v>63</v>
      </c>
      <c r="B66" s="29">
        <v>24977</v>
      </c>
      <c r="C66" s="29">
        <v>30737</v>
      </c>
      <c r="D66" s="29">
        <v>29943</v>
      </c>
      <c r="E66" s="10">
        <f>D93</f>
        <v>35934</v>
      </c>
      <c r="F66" s="10">
        <f>E93</f>
        <v>47777</v>
      </c>
      <c r="G66" s="10">
        <f>F93</f>
        <v>82162</v>
      </c>
      <c r="H66" s="10">
        <f>G93</f>
        <v>117182</v>
      </c>
    </row>
    <row r="67" spans="1:10" x14ac:dyDescent="0.25">
      <c r="A67" s="25" t="s">
        <v>64</v>
      </c>
      <c r="B67" s="26"/>
      <c r="C67" s="26"/>
      <c r="D67" s="26"/>
      <c r="E67" s="26"/>
      <c r="F67" s="26"/>
      <c r="G67" s="26"/>
      <c r="H67" s="27"/>
    </row>
    <row r="68" spans="1:10" x14ac:dyDescent="0.25">
      <c r="A68" s="9" t="s">
        <v>58</v>
      </c>
      <c r="B68" s="29">
        <v>96995</v>
      </c>
      <c r="C68" s="29">
        <v>93736</v>
      </c>
      <c r="D68" s="29">
        <v>112010</v>
      </c>
      <c r="E68" s="10">
        <f>E60</f>
        <v>123613</v>
      </c>
      <c r="F68" s="10">
        <f>F60</f>
        <v>132562</v>
      </c>
      <c r="G68" s="10">
        <f>G60</f>
        <v>143185</v>
      </c>
      <c r="H68" s="10">
        <f>H60</f>
        <v>153917</v>
      </c>
    </row>
    <row r="69" spans="1:10" x14ac:dyDescent="0.25">
      <c r="A69" s="9" t="s">
        <v>65</v>
      </c>
      <c r="B69" s="29">
        <v>11519</v>
      </c>
      <c r="C69" s="29">
        <v>11445</v>
      </c>
      <c r="D69" s="29">
        <v>11698</v>
      </c>
      <c r="E69" s="10">
        <f>Support_PPE!E12</f>
        <v>12668.119999999999</v>
      </c>
      <c r="F69" s="10">
        <f>Support_PPE!F12</f>
        <v>13389.358400000001</v>
      </c>
      <c r="G69" s="10">
        <f>Support_PPE!G12</f>
        <v>14270.393888000001</v>
      </c>
      <c r="H69" s="10">
        <f>Support_PPE!H12</f>
        <v>15003.102988160001</v>
      </c>
    </row>
    <row r="70" spans="1:10" x14ac:dyDescent="0.25">
      <c r="A70" s="9" t="s">
        <v>66</v>
      </c>
      <c r="B70" s="29">
        <v>10833</v>
      </c>
      <c r="C70" s="29">
        <v>11688</v>
      </c>
      <c r="D70" s="29">
        <v>12863</v>
      </c>
      <c r="E70" s="10">
        <f>E46*$B$37</f>
        <v>13714.774473165951</v>
      </c>
      <c r="F70" s="10">
        <f>F46*$B$37</f>
        <v>14619.586867814885</v>
      </c>
      <c r="G70" s="10">
        <f>G46*$B$37</f>
        <v>15433.348025033925</v>
      </c>
      <c r="H70" s="10">
        <f>H46*$B$37</f>
        <v>16197.976545165757</v>
      </c>
    </row>
    <row r="71" spans="1:10" x14ac:dyDescent="0.25">
      <c r="A71" s="25" t="s">
        <v>67</v>
      </c>
      <c r="B71" s="26"/>
      <c r="C71" s="26"/>
      <c r="D71" s="26"/>
      <c r="E71" s="26"/>
      <c r="F71" s="26"/>
      <c r="G71" s="26"/>
      <c r="H71" s="27"/>
    </row>
    <row r="72" spans="1:10" x14ac:dyDescent="0.25">
      <c r="A72" s="9" t="s">
        <v>68</v>
      </c>
      <c r="B72" s="29">
        <v>-1688</v>
      </c>
      <c r="C72" s="29">
        <v>-3788</v>
      </c>
      <c r="D72" s="29">
        <v>-6682</v>
      </c>
      <c r="E72" s="10">
        <f>-(Support_WC!E6-Support_WC!D6)</f>
        <v>46.118177523407212</v>
      </c>
      <c r="F72" s="10">
        <f>-(Support_WC!F6-Support_WC!E6)</f>
        <v>-2621.1874204454434</v>
      </c>
      <c r="G72" s="10">
        <f>-(Support_WC!G6-Support_WC!F6)</f>
        <v>-2357.4174283689863</v>
      </c>
      <c r="H72" s="10">
        <f>-(Support_WC!H6-Support_WC!G6)</f>
        <v>-2215.0831157225766</v>
      </c>
    </row>
    <row r="73" spans="1:10" x14ac:dyDescent="0.25">
      <c r="A73" s="9" t="s">
        <v>69</v>
      </c>
      <c r="B73" s="29">
        <v>1271</v>
      </c>
      <c r="C73" s="29">
        <v>-1356</v>
      </c>
      <c r="D73" s="29">
        <v>-347</v>
      </c>
      <c r="E73" s="10">
        <f>-(Support_WC!E7-Support_WC!D7)</f>
        <v>-4673.6638065280786</v>
      </c>
      <c r="F73" s="10">
        <f>-(Support_WC!F7-Support_WC!E7)</f>
        <v>-2497.3406789906803</v>
      </c>
      <c r="G73" s="10">
        <f>-(Support_WC!G7-Support_WC!F7)</f>
        <v>-2246.0333798744541</v>
      </c>
      <c r="H73" s="10">
        <f>-(Support_WC!H7-Support_WC!G7)</f>
        <v>-2110.4241265202509</v>
      </c>
    </row>
    <row r="74" spans="1:10" x14ac:dyDescent="0.25">
      <c r="A74" s="9" t="s">
        <v>70</v>
      </c>
      <c r="B74" s="29">
        <v>-1618</v>
      </c>
      <c r="C74" s="29">
        <v>-1046</v>
      </c>
      <c r="D74" s="29">
        <v>1400</v>
      </c>
      <c r="E74" s="10">
        <f>-(Support_WC!E8-Support_WC!D8)</f>
        <v>-1810.652755656668</v>
      </c>
      <c r="F74" s="10">
        <f>-(Support_WC!F8-Support_WC!E8)</f>
        <v>-496.69196833343904</v>
      </c>
      <c r="G74" s="10">
        <f>-(Support_WC!G8-Support_WC!F8)</f>
        <v>-446.709874138327</v>
      </c>
      <c r="H74" s="10">
        <f>-(Support_WC!H8-Support_WC!G8)</f>
        <v>-419.73877342332344</v>
      </c>
    </row>
    <row r="75" spans="1:10" x14ac:dyDescent="0.25">
      <c r="A75" s="9" t="s">
        <v>71</v>
      </c>
      <c r="B75" s="10" t="s">
        <v>8</v>
      </c>
      <c r="C75" s="10" t="s">
        <v>8</v>
      </c>
      <c r="D75" s="10" t="s">
        <v>8</v>
      </c>
      <c r="E75" s="10">
        <f>-(Support_WC!E9-Support_WC!D9)</f>
        <v>-2342.0788744335696</v>
      </c>
      <c r="F75" s="10">
        <f>-(Support_WC!F9-Support_WC!E9)</f>
        <v>-1116.7395279269294</v>
      </c>
      <c r="G75" s="10">
        <f>-(Support_WC!G9-Support_WC!F9)</f>
        <v>-1004.3620710021969</v>
      </c>
      <c r="H75" s="10">
        <f>-(Support_WC!H9-Support_WC!G9)</f>
        <v>-943.72148045429276</v>
      </c>
    </row>
    <row r="76" spans="1:10" x14ac:dyDescent="0.25">
      <c r="A76" s="9" t="s">
        <v>72</v>
      </c>
      <c r="B76" s="29">
        <v>-1889</v>
      </c>
      <c r="C76" s="29">
        <v>6020</v>
      </c>
      <c r="D76" s="29">
        <v>902</v>
      </c>
      <c r="E76" s="10">
        <f>(Support_WC!E11-Support_WC!D11)</f>
        <v>8301.8070340250706</v>
      </c>
      <c r="F76" s="10">
        <f>(Support_WC!F11-Support_WC!E11)</f>
        <v>5156.6120850850857</v>
      </c>
      <c r="G76" s="10">
        <f>(Support_WC!G11-Support_WC!F11)</f>
        <v>4637.70240384106</v>
      </c>
      <c r="H76" s="10">
        <f>(Support_WC!H11-Support_WC!G11)</f>
        <v>4357.6908216894662</v>
      </c>
    </row>
    <row r="77" spans="1:10" x14ac:dyDescent="0.25">
      <c r="A77" s="9" t="s">
        <v>73</v>
      </c>
      <c r="B77" s="10" t="s">
        <v>8</v>
      </c>
      <c r="C77" s="10" t="s">
        <v>8</v>
      </c>
      <c r="D77" s="10" t="s">
        <v>8</v>
      </c>
      <c r="E77" s="10">
        <f>(Support_WC!E12-Support_WC!D12)</f>
        <v>12649.922523781162</v>
      </c>
      <c r="F77" s="10">
        <f>(Support_WC!F12-Support_WC!E12)</f>
        <v>5214.3465628506528</v>
      </c>
      <c r="G77" s="10">
        <f>(Support_WC!G12-Support_WC!F12)</f>
        <v>4689.6270632685482</v>
      </c>
      <c r="H77" s="10">
        <f>(Support_WC!H12-Support_WC!G12)</f>
        <v>4406.4804144885275</v>
      </c>
    </row>
    <row r="78" spans="1:10" x14ac:dyDescent="0.25">
      <c r="A78" s="9" t="s">
        <v>74</v>
      </c>
      <c r="B78" s="10" t="s">
        <v>8</v>
      </c>
      <c r="C78" s="10" t="s">
        <v>8</v>
      </c>
      <c r="D78" s="10" t="s">
        <v>8</v>
      </c>
      <c r="E78" s="10">
        <f>(Support_WC!E13-Support_WC!D13)</f>
        <v>782.72301282901935</v>
      </c>
      <c r="F78" s="10">
        <f>(Support_WC!F13-Support_WC!E13)</f>
        <v>649.0295363257228</v>
      </c>
      <c r="G78" s="10">
        <f>(Support_WC!G13-Support_WC!F13)</f>
        <v>583.71771836158405</v>
      </c>
      <c r="H78" s="10">
        <f>(Support_WC!H13-Support_WC!G13)</f>
        <v>548.4744647813277</v>
      </c>
    </row>
    <row r="79" spans="1:10" x14ac:dyDescent="0.25">
      <c r="A79" s="9" t="s">
        <v>75</v>
      </c>
      <c r="B79" s="10">
        <f>B80 - (B68+B69+B70+B72+B73+B74+B76)</f>
        <v>-4880</v>
      </c>
      <c r="C79" s="10">
        <f>C80 - (C68+C69+C70+C72+C73+C74+C76)</f>
        <v>1555</v>
      </c>
      <c r="D79" s="10">
        <f>D80 - (D68+D69+D70+D72+D73+D74+D76)</f>
        <v>-20362</v>
      </c>
      <c r="E79" s="10">
        <f>E80-(E68+E69+E70+E72+E73+E74+E75+E76+E77+E78)</f>
        <v>-18078.069784706313</v>
      </c>
      <c r="F79" s="10">
        <f>F80-(F68+F69+F70+F72+F73+F74+F75+F76+F77+F78)</f>
        <v>-5664.9738563798601</v>
      </c>
      <c r="G79" s="10">
        <f>G80-(G68+G69+G70+G72+G73+G74+G75+G76+G77+G78)</f>
        <v>-3932.2663451211411</v>
      </c>
      <c r="H79" s="10" t="e">
        <f>H80-(H68+H69+H70+H72+H73+H74+H75+H76+H77+H78)</f>
        <v>#VALUE!</v>
      </c>
    </row>
    <row r="80" spans="1:10" x14ac:dyDescent="0.25">
      <c r="A80" s="11" t="s">
        <v>76</v>
      </c>
      <c r="B80" s="30">
        <v>110543</v>
      </c>
      <c r="C80" s="30">
        <v>118254</v>
      </c>
      <c r="D80" s="30">
        <v>111482</v>
      </c>
      <c r="E80" s="30">
        <v>144872</v>
      </c>
      <c r="F80" s="30">
        <v>159194</v>
      </c>
      <c r="G80" s="30">
        <v>172813</v>
      </c>
      <c r="H80" s="12" t="e">
        <f>H18+H6*0</f>
        <v>#VALUE!</v>
      </c>
    </row>
    <row r="81" spans="1:10" x14ac:dyDescent="0.25">
      <c r="A81" s="25" t="s">
        <v>77</v>
      </c>
      <c r="B81" s="26"/>
      <c r="C81" s="26"/>
      <c r="D81" s="26"/>
      <c r="E81" s="26"/>
      <c r="F81" s="26"/>
      <c r="G81" s="26"/>
      <c r="H81" s="27"/>
    </row>
    <row r="82" spans="1:10" x14ac:dyDescent="0.25">
      <c r="A82" s="9" t="s">
        <v>17</v>
      </c>
      <c r="B82" s="29">
        <v>-10959</v>
      </c>
      <c r="C82" s="29">
        <v>-9447</v>
      </c>
      <c r="D82" s="29">
        <v>-12715</v>
      </c>
      <c r="E82" s="14">
        <f>-E15</f>
        <v>-12977</v>
      </c>
      <c r="F82" s="14">
        <f>-F15</f>
        <v>-14586</v>
      </c>
      <c r="G82" s="14">
        <f>-G15</f>
        <v>-14643</v>
      </c>
      <c r="H82" s="14">
        <f>-H15</f>
        <v>-16288</v>
      </c>
    </row>
    <row r="83" spans="1:10" x14ac:dyDescent="0.25">
      <c r="A83" s="9" t="s">
        <v>78</v>
      </c>
      <c r="B83" s="29">
        <v>16001</v>
      </c>
      <c r="C83" s="29">
        <v>13690</v>
      </c>
      <c r="D83" s="29">
        <v>29390</v>
      </c>
      <c r="E83" s="10">
        <f>-((E99+E106)-(D99+D106))</f>
        <v>-42201.135331561323</v>
      </c>
      <c r="F83" s="10">
        <f>-((F99+F106)-(E99+E106))</f>
        <v>-9149.6830131529714</v>
      </c>
      <c r="G83" s="10">
        <f>-((G99+G106)-(F99+F106))</f>
        <v>-8228.9507537744357</v>
      </c>
      <c r="H83" s="10">
        <f>-((H99+H106)-(G99+G106))</f>
        <v>-7732.1095769659441</v>
      </c>
    </row>
    <row r="84" spans="1:10" x14ac:dyDescent="0.25">
      <c r="A84" s="9" t="s">
        <v>79</v>
      </c>
      <c r="B84" s="29">
        <v>-1337</v>
      </c>
      <c r="C84" s="29">
        <v>-1308</v>
      </c>
      <c r="D84" s="29">
        <v>-1480</v>
      </c>
      <c r="E84" s="10">
        <f>E85-(E82+E83)</f>
        <v>42856.135331561323</v>
      </c>
      <c r="F84" s="10">
        <f>F85-(F82+F83)</f>
        <v>16876.683013152971</v>
      </c>
      <c r="G84" s="10">
        <f>G85-(G82+G83)</f>
        <v>9271.9507537744357</v>
      </c>
      <c r="H84" s="10" t="e">
        <f>H85-(H82+H83)</f>
        <v>#VALUE!</v>
      </c>
    </row>
    <row r="85" spans="1:10" x14ac:dyDescent="0.25">
      <c r="A85" s="11" t="s">
        <v>80</v>
      </c>
      <c r="B85" s="30">
        <v>3705</v>
      </c>
      <c r="C85" s="30">
        <v>2935</v>
      </c>
      <c r="D85" s="30">
        <v>15195</v>
      </c>
      <c r="E85" s="30">
        <v>-12322</v>
      </c>
      <c r="F85" s="30">
        <v>-6859</v>
      </c>
      <c r="G85" s="30">
        <v>-13600</v>
      </c>
      <c r="H85" s="12" t="e">
        <f>H19+H6*0</f>
        <v>#VALUE!</v>
      </c>
    </row>
    <row r="86" spans="1:10" x14ac:dyDescent="0.25">
      <c r="A86" s="25" t="s">
        <v>81</v>
      </c>
      <c r="B86" s="26"/>
      <c r="C86" s="26"/>
      <c r="D86" s="26"/>
      <c r="E86" s="26"/>
      <c r="F86" s="26"/>
      <c r="G86" s="26"/>
      <c r="H86" s="27"/>
    </row>
    <row r="87" spans="1:10" x14ac:dyDescent="0.25">
      <c r="A87" s="9" t="s">
        <v>82</v>
      </c>
      <c r="B87" s="29">
        <v>-15025</v>
      </c>
      <c r="C87" s="29">
        <v>-15234</v>
      </c>
      <c r="D87" s="29">
        <v>-15421</v>
      </c>
      <c r="E87" s="10">
        <f>Support_Equity!E8</f>
        <v>-15652.770414201186</v>
      </c>
      <c r="F87" s="10">
        <f>Support_Equity!F8</f>
        <v>-16033.41684665227</v>
      </c>
      <c r="G87" s="10">
        <f>Support_Equity!G8</f>
        <v>-16392.020547945205</v>
      </c>
      <c r="H87" s="10">
        <f>Support_Equity!H8</f>
        <v>-14600.282801418442</v>
      </c>
    </row>
    <row r="88" spans="1:10" x14ac:dyDescent="0.25">
      <c r="A88" s="9" t="s">
        <v>83</v>
      </c>
      <c r="B88" s="29">
        <v>-77550</v>
      </c>
      <c r="C88" s="29">
        <v>-94949</v>
      </c>
      <c r="D88" s="29">
        <v>-90711</v>
      </c>
      <c r="E88" s="10">
        <f>Support_Equity!E11</f>
        <v>-85591.229585798807</v>
      </c>
      <c r="F88" s="10">
        <f>Support_Equity!F11</f>
        <v>-84735.583153347718</v>
      </c>
      <c r="G88" s="10">
        <f>Support_Equity!G11</f>
        <v>-78636.979452054802</v>
      </c>
      <c r="H88" s="10">
        <f>Support_Equity!H11</f>
        <v>-91160.717198581551</v>
      </c>
    </row>
    <row r="89" spans="1:10" x14ac:dyDescent="0.25">
      <c r="A89" s="9" t="s">
        <v>84</v>
      </c>
      <c r="B89" s="29">
        <v>-9901</v>
      </c>
      <c r="C89" s="29">
        <v>-5998</v>
      </c>
      <c r="D89" s="29">
        <v>-8483</v>
      </c>
      <c r="E89" s="10">
        <f>E91-(E87+E88)</f>
        <v>-19463</v>
      </c>
      <c r="F89" s="10">
        <f>F91-(F87+F88)</f>
        <v>-17181.000000000015</v>
      </c>
      <c r="G89" s="10">
        <f>G91-(G87+G88)</f>
        <v>-29164</v>
      </c>
      <c r="H89" s="10" t="e">
        <f>H91-(H87+H88)</f>
        <v>#VALUE!</v>
      </c>
    </row>
    <row r="90" spans="1:10" x14ac:dyDescent="0.25">
      <c r="A90" s="9" t="s">
        <v>85</v>
      </c>
      <c r="B90" s="29">
        <v>-6012</v>
      </c>
      <c r="C90" s="29">
        <v>-5802</v>
      </c>
      <c r="D90" s="29">
        <v>-6071</v>
      </c>
      <c r="E90" s="29">
        <v>0</v>
      </c>
      <c r="F90" s="29">
        <v>0</v>
      </c>
      <c r="G90" s="29">
        <v>0</v>
      </c>
      <c r="H90" s="29">
        <v>0</v>
      </c>
    </row>
    <row r="91" spans="1:10" x14ac:dyDescent="0.25">
      <c r="A91" s="11" t="s">
        <v>86</v>
      </c>
      <c r="B91" s="30">
        <v>-108488</v>
      </c>
      <c r="C91" s="30">
        <v>-121983</v>
      </c>
      <c r="D91" s="30">
        <v>-120686</v>
      </c>
      <c r="E91" s="30">
        <v>-120707</v>
      </c>
      <c r="F91" s="30">
        <v>-117950</v>
      </c>
      <c r="G91" s="30">
        <v>-124193</v>
      </c>
      <c r="H91" s="12" t="e">
        <f>H20+H6*0</f>
        <v>#VALUE!</v>
      </c>
    </row>
    <row r="92" spans="1:10" x14ac:dyDescent="0.25">
      <c r="A92" s="11" t="s">
        <v>87</v>
      </c>
      <c r="B92" s="30">
        <v>5760</v>
      </c>
      <c r="C92" s="30">
        <v>-794</v>
      </c>
      <c r="D92" s="30">
        <v>5991</v>
      </c>
      <c r="E92" s="12">
        <f>E80+E85+E91</f>
        <v>11843</v>
      </c>
      <c r="F92" s="12">
        <f>F80+F85+F91</f>
        <v>34385</v>
      </c>
      <c r="G92" s="12">
        <f>G80+G85+G91</f>
        <v>35020</v>
      </c>
      <c r="H92" s="12" t="e">
        <f>H80+H85+H91</f>
        <v>#VALUE!</v>
      </c>
    </row>
    <row r="93" spans="1:10" x14ac:dyDescent="0.25">
      <c r="A93" s="11" t="s">
        <v>88</v>
      </c>
      <c r="B93" s="30">
        <v>30737</v>
      </c>
      <c r="C93" s="30">
        <v>29943</v>
      </c>
      <c r="D93" s="30">
        <v>35934</v>
      </c>
      <c r="E93" s="12">
        <f>E66+E92</f>
        <v>47777</v>
      </c>
      <c r="F93" s="12">
        <f>F66+F92</f>
        <v>82162</v>
      </c>
      <c r="G93" s="12">
        <f>G66+G92</f>
        <v>117182</v>
      </c>
      <c r="H93" s="12" t="e">
        <f>H66+H92</f>
        <v>#VALUE!</v>
      </c>
    </row>
    <row r="95" spans="1:10" x14ac:dyDescent="0.25">
      <c r="A95" s="28" t="s">
        <v>89</v>
      </c>
      <c r="B95" s="26"/>
      <c r="C95" s="26"/>
      <c r="D95" s="26"/>
      <c r="E95" s="26"/>
      <c r="F95" s="26"/>
      <c r="G95" s="26"/>
      <c r="H95" s="27"/>
    </row>
    <row r="96" spans="1:10" x14ac:dyDescent="0.25">
      <c r="A96" s="25" t="s">
        <v>90</v>
      </c>
      <c r="B96" s="26"/>
      <c r="C96" s="26"/>
      <c r="D96" s="26"/>
      <c r="E96" s="26"/>
      <c r="F96" s="26"/>
      <c r="G96" s="26"/>
      <c r="H96" s="27"/>
      <c r="J96" t="s">
        <v>189</v>
      </c>
    </row>
    <row r="97" spans="1:10" x14ac:dyDescent="0.25">
      <c r="A97" s="25" t="s">
        <v>91</v>
      </c>
      <c r="B97" s="26"/>
      <c r="C97" s="26"/>
      <c r="D97" s="26"/>
      <c r="E97" s="26"/>
      <c r="F97" s="26"/>
      <c r="G97" s="26"/>
      <c r="H97" s="27"/>
    </row>
    <row r="98" spans="1:10" x14ac:dyDescent="0.25">
      <c r="A98" s="9" t="s">
        <v>92</v>
      </c>
      <c r="B98" s="29">
        <v>29965</v>
      </c>
      <c r="C98" s="29">
        <v>29943</v>
      </c>
      <c r="D98" s="29">
        <v>35934</v>
      </c>
      <c r="E98" s="10">
        <f>E93</f>
        <v>47777</v>
      </c>
      <c r="F98" s="10">
        <f>F93</f>
        <v>82162</v>
      </c>
      <c r="G98" s="10">
        <f>G93</f>
        <v>117182</v>
      </c>
      <c r="H98" s="10" t="e">
        <f>H93</f>
        <v>#VALUE!</v>
      </c>
      <c r="J98" t="s">
        <v>179</v>
      </c>
    </row>
    <row r="99" spans="1:10" x14ac:dyDescent="0.25">
      <c r="A99" s="9" t="s">
        <v>93</v>
      </c>
      <c r="B99" s="29">
        <v>31590</v>
      </c>
      <c r="C99" s="29">
        <v>35228</v>
      </c>
      <c r="D99" s="29">
        <v>18763</v>
      </c>
      <c r="E99" s="10">
        <f>E46*Model!$B$25</f>
        <v>33507.537110630976</v>
      </c>
      <c r="F99" s="10">
        <f>F46*Model!$B$25</f>
        <v>35718.148371587376</v>
      </c>
      <c r="G99" s="10">
        <f>G46*Model!$B$25</f>
        <v>37706.305904039502</v>
      </c>
      <c r="H99" s="10">
        <f>H46*Model!$B$25</f>
        <v>39574.424010122348</v>
      </c>
      <c r="J99" t="s">
        <v>180</v>
      </c>
    </row>
    <row r="100" spans="1:10" x14ac:dyDescent="0.25">
      <c r="A100" s="9" t="s">
        <v>94</v>
      </c>
      <c r="B100" s="29">
        <v>29508</v>
      </c>
      <c r="C100" s="29">
        <v>33410</v>
      </c>
      <c r="D100" s="29">
        <v>39777</v>
      </c>
      <c r="E100" s="10">
        <f>Support_WC!E6</f>
        <v>39730.881822476593</v>
      </c>
      <c r="F100" s="10">
        <f>Support_WC!F6</f>
        <v>42352.069242922036</v>
      </c>
      <c r="G100" s="10">
        <f>Support_WC!G6</f>
        <v>44709.486671291023</v>
      </c>
      <c r="H100" s="10">
        <f>Support_WC!H6</f>
        <v>46924.569787013599</v>
      </c>
      <c r="J100" t="s">
        <v>181</v>
      </c>
    </row>
    <row r="101" spans="1:10" x14ac:dyDescent="0.25">
      <c r="A101" s="9" t="s">
        <v>95</v>
      </c>
      <c r="B101" s="29">
        <v>31477</v>
      </c>
      <c r="C101" s="29">
        <v>32833</v>
      </c>
      <c r="D101" s="29">
        <v>33180</v>
      </c>
      <c r="E101" s="10">
        <f>Support_WC!E7</f>
        <v>37853.663806528079</v>
      </c>
      <c r="F101" s="10">
        <f>Support_WC!F7</f>
        <v>40351.004485518759</v>
      </c>
      <c r="G101" s="10">
        <f>Support_WC!G7</f>
        <v>42597.037865393213</v>
      </c>
      <c r="H101" s="10">
        <f>Support_WC!H7</f>
        <v>44707.461991913464</v>
      </c>
      <c r="J101" t="s">
        <v>181</v>
      </c>
    </row>
    <row r="102" spans="1:10" x14ac:dyDescent="0.25">
      <c r="A102" s="9" t="s">
        <v>96</v>
      </c>
      <c r="B102" s="29">
        <v>6331</v>
      </c>
      <c r="C102" s="29">
        <v>7286</v>
      </c>
      <c r="D102" s="29">
        <v>5718</v>
      </c>
      <c r="E102" s="10">
        <f>Support_WC!E8</f>
        <v>7528.652755656668</v>
      </c>
      <c r="F102" s="10">
        <f>Support_WC!F8</f>
        <v>8025.344723990107</v>
      </c>
      <c r="G102" s="10">
        <f>Support_WC!G8</f>
        <v>8472.054598128434</v>
      </c>
      <c r="H102" s="10">
        <f>Support_WC!H8</f>
        <v>8891.7933715517574</v>
      </c>
      <c r="J102" t="s">
        <v>181</v>
      </c>
    </row>
    <row r="103" spans="1:10" x14ac:dyDescent="0.25">
      <c r="A103" s="9" t="s">
        <v>97</v>
      </c>
      <c r="B103" s="29">
        <v>14695</v>
      </c>
      <c r="C103" s="29">
        <v>14287</v>
      </c>
      <c r="D103" s="29">
        <v>14585</v>
      </c>
      <c r="E103" s="10">
        <f>Support_WC!E9</f>
        <v>16927.07887443357</v>
      </c>
      <c r="F103" s="10">
        <f>Support_WC!F9</f>
        <v>18043.818402360499</v>
      </c>
      <c r="G103" s="10">
        <f>Support_WC!G9</f>
        <v>19048.180473362696</v>
      </c>
      <c r="H103" s="10">
        <f>Support_WC!H9</f>
        <v>19991.901953816989</v>
      </c>
      <c r="J103" t="s">
        <v>181</v>
      </c>
    </row>
    <row r="104" spans="1:10" x14ac:dyDescent="0.25">
      <c r="A104" s="11" t="s">
        <v>98</v>
      </c>
      <c r="B104" s="30">
        <v>143566</v>
      </c>
      <c r="C104" s="30">
        <v>152987</v>
      </c>
      <c r="D104" s="30">
        <v>147957</v>
      </c>
      <c r="E104" s="12">
        <f>SUM(E98:E103)</f>
        <v>183324.81436972588</v>
      </c>
      <c r="F104" s="12">
        <f>SUM(F98:F103)</f>
        <v>226652.38522637874</v>
      </c>
      <c r="G104" s="12">
        <f>SUM(G98:G103)</f>
        <v>269715.06551221485</v>
      </c>
      <c r="H104" s="12" t="e">
        <f>SUM(H98:H103)</f>
        <v>#VALUE!</v>
      </c>
    </row>
    <row r="105" spans="1:10" x14ac:dyDescent="0.25">
      <c r="A105" s="25" t="s">
        <v>99</v>
      </c>
      <c r="B105" s="26"/>
      <c r="C105" s="26"/>
      <c r="D105" s="26"/>
      <c r="E105" s="26"/>
      <c r="F105" s="26"/>
      <c r="G105" s="26"/>
      <c r="H105" s="27"/>
    </row>
    <row r="106" spans="1:10" x14ac:dyDescent="0.25">
      <c r="A106" s="9" t="s">
        <v>93</v>
      </c>
      <c r="B106" s="29">
        <v>100544</v>
      </c>
      <c r="C106" s="29">
        <v>91479</v>
      </c>
      <c r="D106" s="29">
        <v>77723</v>
      </c>
      <c r="E106" s="10">
        <f>E46*Model!$B$26</f>
        <v>105179.59822093035</v>
      </c>
      <c r="F106" s="10">
        <f>F46*Model!$B$26</f>
        <v>112118.66997312693</v>
      </c>
      <c r="G106" s="10">
        <f>G46*Model!$B$26</f>
        <v>118359.46319444923</v>
      </c>
      <c r="H106" s="10">
        <f>H46*Model!$B$26</f>
        <v>124223.45466533233</v>
      </c>
      <c r="J106" t="s">
        <v>180</v>
      </c>
    </row>
    <row r="107" spans="1:10" x14ac:dyDescent="0.25">
      <c r="A107" s="9" t="s">
        <v>100</v>
      </c>
      <c r="B107" s="29">
        <v>43715</v>
      </c>
      <c r="C107" s="29">
        <v>45680</v>
      </c>
      <c r="D107" s="29">
        <v>49834</v>
      </c>
      <c r="E107" s="10">
        <f>Support_PPE!E9</f>
        <v>53840.880000000005</v>
      </c>
      <c r="F107" s="10">
        <f>Support_PPE!F9</f>
        <v>58735.521600000007</v>
      </c>
      <c r="G107" s="10">
        <f>Support_PPE!G9</f>
        <v>62806.127712000009</v>
      </c>
      <c r="H107" s="10">
        <f>Support_PPE!H9</f>
        <v>67789.024723840019</v>
      </c>
      <c r="J107" t="s">
        <v>180</v>
      </c>
    </row>
    <row r="108" spans="1:10" x14ac:dyDescent="0.25">
      <c r="A108" s="9" t="s">
        <v>101</v>
      </c>
      <c r="B108" s="29">
        <v>64758</v>
      </c>
      <c r="C108" s="29">
        <v>74834</v>
      </c>
      <c r="D108" s="29">
        <v>83727</v>
      </c>
      <c r="E108" s="10">
        <f>E110-(E98+E99+E100+E101+E102+E103+E106+E107)</f>
        <v>40372.707409343799</v>
      </c>
      <c r="F108" s="10">
        <f>F110-(F98+F99+F100+F101+F102+F103+F106+F107)</f>
        <v>19039.423200494377</v>
      </c>
      <c r="G108" s="10">
        <f>G110-(G98+G99+G100+G101+G102+G103+G106+G107)</f>
        <v>10592.34358133591</v>
      </c>
      <c r="H108" s="10" t="e">
        <f>H110-(H98+H99+H100+H101+H102+H103+H106+H107)</f>
        <v>#VALUE!</v>
      </c>
      <c r="J108" t="s">
        <v>182</v>
      </c>
    </row>
    <row r="109" spans="1:10" x14ac:dyDescent="0.25">
      <c r="A109" s="11" t="s">
        <v>102</v>
      </c>
      <c r="B109" s="30">
        <v>209017</v>
      </c>
      <c r="C109" s="30">
        <v>211993</v>
      </c>
      <c r="D109" s="30">
        <v>211284</v>
      </c>
      <c r="E109" s="12">
        <f>E106+E107+E108</f>
        <v>199393.18563027415</v>
      </c>
      <c r="F109" s="12">
        <f>F106+F107+F108</f>
        <v>189893.61477362132</v>
      </c>
      <c r="G109" s="12">
        <f>G106+G107+G108</f>
        <v>191757.93448778515</v>
      </c>
      <c r="H109" s="12" t="e">
        <f>H106+H107+H108</f>
        <v>#VALUE!</v>
      </c>
    </row>
    <row r="110" spans="1:10" x14ac:dyDescent="0.25">
      <c r="A110" s="11" t="s">
        <v>103</v>
      </c>
      <c r="B110" s="30">
        <v>352583</v>
      </c>
      <c r="C110" s="30">
        <v>364980</v>
      </c>
      <c r="D110" s="30">
        <v>359241</v>
      </c>
      <c r="E110" s="30">
        <v>382718</v>
      </c>
      <c r="F110" s="30">
        <v>416546</v>
      </c>
      <c r="G110" s="30">
        <v>461473</v>
      </c>
      <c r="H110" s="30">
        <v>347341</v>
      </c>
      <c r="J110" t="s">
        <v>183</v>
      </c>
    </row>
    <row r="111" spans="1:10" x14ac:dyDescent="0.25">
      <c r="A111" s="16" t="s">
        <v>8</v>
      </c>
      <c r="B111" s="16" t="s">
        <v>8</v>
      </c>
      <c r="C111" s="16" t="s">
        <v>8</v>
      </c>
      <c r="D111" s="16" t="s">
        <v>8</v>
      </c>
      <c r="E111" s="16" t="s">
        <v>8</v>
      </c>
      <c r="F111" s="16" t="s">
        <v>8</v>
      </c>
      <c r="G111" s="16" t="s">
        <v>8</v>
      </c>
      <c r="H111" s="16" t="s">
        <v>8</v>
      </c>
    </row>
    <row r="112" spans="1:10" x14ac:dyDescent="0.25">
      <c r="A112" s="25" t="s">
        <v>104</v>
      </c>
      <c r="B112" s="26"/>
      <c r="C112" s="26"/>
      <c r="D112" s="26"/>
      <c r="E112" s="26"/>
      <c r="F112" s="26"/>
      <c r="G112" s="26"/>
      <c r="H112" s="27"/>
    </row>
    <row r="113" spans="1:10" x14ac:dyDescent="0.25">
      <c r="A113" s="25" t="s">
        <v>105</v>
      </c>
      <c r="B113" s="26"/>
      <c r="C113" s="26"/>
      <c r="D113" s="26"/>
      <c r="E113" s="26"/>
      <c r="F113" s="26"/>
      <c r="G113" s="26"/>
      <c r="H113" s="27"/>
    </row>
    <row r="114" spans="1:10" x14ac:dyDescent="0.25">
      <c r="A114" s="9" t="s">
        <v>106</v>
      </c>
      <c r="B114" s="29">
        <v>62611</v>
      </c>
      <c r="C114" s="29">
        <v>68960</v>
      </c>
      <c r="D114" s="29">
        <v>69860</v>
      </c>
      <c r="E114" s="10">
        <f>Support_WC!E11</f>
        <v>78161.807034025071</v>
      </c>
      <c r="F114" s="10">
        <f>Support_WC!F11</f>
        <v>83318.419119110156</v>
      </c>
      <c r="G114" s="10">
        <f>Support_WC!G11</f>
        <v>87956.121522951216</v>
      </c>
      <c r="H114" s="10">
        <f>Support_WC!H11</f>
        <v>92313.812344640683</v>
      </c>
      <c r="J114" t="s">
        <v>184</v>
      </c>
    </row>
    <row r="115" spans="1:10" x14ac:dyDescent="0.25">
      <c r="A115" s="9" t="s">
        <v>107</v>
      </c>
      <c r="B115" s="29">
        <v>58829</v>
      </c>
      <c r="C115" s="29">
        <v>78304</v>
      </c>
      <c r="D115" s="29">
        <v>66387</v>
      </c>
      <c r="E115" s="10">
        <f>Support_WC!E12</f>
        <v>79036.922523781162</v>
      </c>
      <c r="F115" s="10">
        <f>Support_WC!F12</f>
        <v>84251.269086631815</v>
      </c>
      <c r="G115" s="10">
        <f>Support_WC!G12</f>
        <v>88940.896149900364</v>
      </c>
      <c r="H115" s="10">
        <f>Support_WC!H12</f>
        <v>93347.376564388891</v>
      </c>
      <c r="J115" t="s">
        <v>180</v>
      </c>
    </row>
    <row r="116" spans="1:10" x14ac:dyDescent="0.25">
      <c r="A116" s="9" t="s">
        <v>108</v>
      </c>
      <c r="B116" s="29">
        <v>8061</v>
      </c>
      <c r="C116" s="29">
        <v>8249</v>
      </c>
      <c r="D116" s="29">
        <v>9055</v>
      </c>
      <c r="E116" s="10">
        <f>Support_WC!E13</f>
        <v>9837.7230128290194</v>
      </c>
      <c r="F116" s="10">
        <f>Support_WC!F13</f>
        <v>10486.752549154742</v>
      </c>
      <c r="G116" s="10">
        <f>Support_WC!G13</f>
        <v>11070.470267516326</v>
      </c>
      <c r="H116" s="10">
        <f>Support_WC!H13</f>
        <v>11618.944732297654</v>
      </c>
      <c r="J116" t="s">
        <v>180</v>
      </c>
    </row>
    <row r="117" spans="1:10" x14ac:dyDescent="0.25">
      <c r="A117" s="9" t="s">
        <v>109</v>
      </c>
      <c r="B117" s="29">
        <v>5985</v>
      </c>
      <c r="C117" s="29">
        <v>9967</v>
      </c>
      <c r="D117" s="29">
        <v>7979</v>
      </c>
      <c r="E117" s="10">
        <f>E46*Model!$B$34</f>
        <v>9282.0612268120822</v>
      </c>
      <c r="F117" s="10">
        <f>F46*Model!$B$34</f>
        <v>9894.4317810885859</v>
      </c>
      <c r="G117" s="10">
        <f>G46*Model!$B$34</f>
        <v>10445.179509393369</v>
      </c>
      <c r="H117" s="10">
        <f>H46*Model!$B$34</f>
        <v>10962.674620488113</v>
      </c>
      <c r="J117" t="s">
        <v>185</v>
      </c>
    </row>
    <row r="118" spans="1:10" x14ac:dyDescent="0.25">
      <c r="A118" s="9" t="s">
        <v>110</v>
      </c>
      <c r="B118" s="29">
        <v>9822</v>
      </c>
      <c r="C118" s="29">
        <v>10912</v>
      </c>
      <c r="D118" s="29">
        <v>12350</v>
      </c>
      <c r="E118" s="10">
        <f>E46*Model!$B$35</f>
        <v>12813.173032375182</v>
      </c>
      <c r="F118" s="10">
        <f>F46*Model!$B$35</f>
        <v>13658.503576975691</v>
      </c>
      <c r="G118" s="10">
        <f>G46*Model!$B$35</f>
        <v>14418.768540491817</v>
      </c>
      <c r="H118" s="10">
        <f>H46*Model!$B$35</f>
        <v>15133.130818421167</v>
      </c>
      <c r="J118" t="s">
        <v>180</v>
      </c>
    </row>
    <row r="119" spans="1:10" x14ac:dyDescent="0.25">
      <c r="A119" s="11" t="s">
        <v>111</v>
      </c>
      <c r="B119" s="30">
        <v>145308</v>
      </c>
      <c r="C119" s="30">
        <v>176392</v>
      </c>
      <c r="D119" s="30">
        <v>165631</v>
      </c>
      <c r="E119" s="12">
        <f>SUM(E114:E118)</f>
        <v>189131.68682982249</v>
      </c>
      <c r="F119" s="12">
        <f>SUM(F114:F118)</f>
        <v>201609.37611296101</v>
      </c>
      <c r="G119" s="12">
        <f>SUM(G114:G118)</f>
        <v>212831.43599025309</v>
      </c>
      <c r="H119" s="12">
        <f>SUM(H114:H118)</f>
        <v>223375.93908023651</v>
      </c>
    </row>
    <row r="120" spans="1:10" x14ac:dyDescent="0.25">
      <c r="A120" s="25" t="s">
        <v>112</v>
      </c>
      <c r="B120" s="26"/>
      <c r="C120" s="26"/>
      <c r="D120" s="26"/>
      <c r="E120" s="26"/>
      <c r="F120" s="26"/>
      <c r="G120" s="26"/>
      <c r="H120" s="27"/>
    </row>
    <row r="121" spans="1:10" x14ac:dyDescent="0.25">
      <c r="A121" s="9" t="s">
        <v>110</v>
      </c>
      <c r="B121" s="29">
        <v>95281</v>
      </c>
      <c r="C121" s="29">
        <v>85750</v>
      </c>
      <c r="D121" s="29">
        <v>78328</v>
      </c>
      <c r="E121" s="10">
        <f>(D117+D118+D121)+(E89)-(E117+E118)</f>
        <v>57098.765740812734</v>
      </c>
      <c r="F121" s="10">
        <f>(E117+E118+E121)+(F89)-(F117+F118)</f>
        <v>38460.064641935707</v>
      </c>
      <c r="G121" s="10">
        <f>(F117+F118+F121)+(G89)-(G117+G118)</f>
        <v>7985.051950114801</v>
      </c>
      <c r="H121" s="10" t="e">
        <f>(G117+G118+G121)+(H89)-(H117+H118)</f>
        <v>#VALUE!</v>
      </c>
      <c r="J121" t="s">
        <v>186</v>
      </c>
    </row>
    <row r="122" spans="1:10" x14ac:dyDescent="0.25">
      <c r="A122" s="9" t="s">
        <v>113</v>
      </c>
      <c r="B122" s="29">
        <v>49848</v>
      </c>
      <c r="C122" s="29">
        <v>45888</v>
      </c>
      <c r="D122" s="29">
        <v>41549</v>
      </c>
      <c r="E122" s="10">
        <f>E110-E125-(E114+E115+E116+E117+E118+E121)</f>
        <v>40385.547429364786</v>
      </c>
      <c r="F122" s="10">
        <f>F110-F125-(F114+F115+F116+F117+F118+F121)</f>
        <v>48581.559245103272</v>
      </c>
      <c r="G122" s="10">
        <f>G110-G125-(G114+G115+G116+G117+G118+G121)</f>
        <v>64605.512059632107</v>
      </c>
      <c r="H122" s="10" t="e">
        <f>H110-H125-(H114+H115+H116+H117+H118+H121)</f>
        <v>#VALUE!</v>
      </c>
      <c r="J122" t="s">
        <v>187</v>
      </c>
    </row>
    <row r="123" spans="1:10" x14ac:dyDescent="0.25">
      <c r="A123" s="11" t="s">
        <v>114</v>
      </c>
      <c r="B123" s="30">
        <v>145129</v>
      </c>
      <c r="C123" s="30">
        <v>131638</v>
      </c>
      <c r="D123" s="30">
        <v>119877</v>
      </c>
      <c r="E123" s="12">
        <f>E121+E122</f>
        <v>97484.313170177513</v>
      </c>
      <c r="F123" s="12">
        <f>F121+F122</f>
        <v>87041.623887038979</v>
      </c>
      <c r="G123" s="12">
        <f>G121+G122</f>
        <v>72590.564009746915</v>
      </c>
      <c r="H123" s="12" t="e">
        <f>H121+H122</f>
        <v>#VALUE!</v>
      </c>
    </row>
    <row r="124" spans="1:10" x14ac:dyDescent="0.25">
      <c r="A124" s="11" t="s">
        <v>115</v>
      </c>
      <c r="B124" s="30">
        <v>290437</v>
      </c>
      <c r="C124" s="30">
        <v>308030</v>
      </c>
      <c r="D124" s="30">
        <v>285508</v>
      </c>
      <c r="E124" s="12">
        <f>E110-E125</f>
        <v>286616</v>
      </c>
      <c r="F124" s="12">
        <f>F110-F125</f>
        <v>288651</v>
      </c>
      <c r="G124" s="12">
        <f>G110-G125</f>
        <v>285422</v>
      </c>
      <c r="H124" s="12">
        <f>H110-H125</f>
        <v>123134</v>
      </c>
    </row>
    <row r="125" spans="1:10" x14ac:dyDescent="0.25">
      <c r="A125" s="11" t="s">
        <v>116</v>
      </c>
      <c r="B125" s="30">
        <v>62146</v>
      </c>
      <c r="C125" s="30">
        <v>56950</v>
      </c>
      <c r="D125" s="30">
        <v>73733</v>
      </c>
      <c r="E125" s="12">
        <f>Support_Equity!E10</f>
        <v>96102</v>
      </c>
      <c r="F125" s="12">
        <f>Support_Equity!F10</f>
        <v>127895</v>
      </c>
      <c r="G125" s="12">
        <f>Support_Equity!G10</f>
        <v>176051</v>
      </c>
      <c r="H125" s="12">
        <f>Support_Equity!H10</f>
        <v>224207</v>
      </c>
    </row>
    <row r="126" spans="1:10" x14ac:dyDescent="0.25">
      <c r="A126" s="11" t="s">
        <v>117</v>
      </c>
      <c r="B126" s="12">
        <f t="shared" ref="B126:H126" si="0">B110-(B124+B125)</f>
        <v>0</v>
      </c>
      <c r="C126" s="12">
        <f t="shared" si="0"/>
        <v>0</v>
      </c>
      <c r="D126" s="12">
        <f t="shared" si="0"/>
        <v>0</v>
      </c>
      <c r="E126" s="12">
        <f t="shared" si="0"/>
        <v>0</v>
      </c>
      <c r="F126" s="12">
        <f t="shared" si="0"/>
        <v>0</v>
      </c>
      <c r="G126" s="12">
        <f t="shared" si="0"/>
        <v>0</v>
      </c>
      <c r="H126" s="12">
        <f t="shared" si="0"/>
        <v>0</v>
      </c>
    </row>
    <row r="127" spans="1:10" x14ac:dyDescent="0.25">
      <c r="A127" s="17" t="s">
        <v>118</v>
      </c>
      <c r="B127" s="12">
        <f t="shared" ref="B127:H127" si="1">B98-B93</f>
        <v>-772</v>
      </c>
      <c r="C127" s="12">
        <f t="shared" si="1"/>
        <v>0</v>
      </c>
      <c r="D127" s="12">
        <f t="shared" si="1"/>
        <v>0</v>
      </c>
      <c r="E127" s="12">
        <f t="shared" si="1"/>
        <v>0</v>
      </c>
      <c r="F127" s="12">
        <f t="shared" si="1"/>
        <v>0</v>
      </c>
      <c r="G127" s="12">
        <f t="shared" si="1"/>
        <v>0</v>
      </c>
      <c r="H127" s="12" t="e">
        <f t="shared" si="1"/>
        <v>#VALUE!</v>
      </c>
    </row>
  </sheetData>
  <mergeCells count="18">
    <mergeCell ref="A120:H120"/>
    <mergeCell ref="A97:H97"/>
    <mergeCell ref="A42:H42"/>
    <mergeCell ref="A112:H112"/>
    <mergeCell ref="A113:H113"/>
    <mergeCell ref="A47:H47"/>
    <mergeCell ref="A5:H5"/>
    <mergeCell ref="A23:H23"/>
    <mergeCell ref="A67:H67"/>
    <mergeCell ref="A105:H105"/>
    <mergeCell ref="A86:H86"/>
    <mergeCell ref="A65:H65"/>
    <mergeCell ref="A43:H43"/>
    <mergeCell ref="A81:H81"/>
    <mergeCell ref="A71:H71"/>
    <mergeCell ref="A95:H95"/>
    <mergeCell ref="A52:H52"/>
    <mergeCell ref="A96:H96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showGridLines="0" workbookViewId="0">
      <selection activeCell="E8" sqref="E8"/>
    </sheetView>
  </sheetViews>
  <sheetFormatPr defaultRowHeight="15" x14ac:dyDescent="0.25"/>
  <cols>
    <col min="1" max="1" width="36" customWidth="1"/>
    <col min="2" max="8" width="14" customWidth="1"/>
  </cols>
  <sheetData>
    <row r="1" spans="1:8" ht="21" x14ac:dyDescent="0.25">
      <c r="A1" s="1" t="s">
        <v>119</v>
      </c>
    </row>
    <row r="2" spans="1:8" x14ac:dyDescent="0.25">
      <c r="A2" s="2" t="s">
        <v>120</v>
      </c>
    </row>
    <row r="5" spans="1:8" x14ac:dyDescent="0.25">
      <c r="A5" s="8" t="s">
        <v>121</v>
      </c>
      <c r="B5" s="18" t="s">
        <v>122</v>
      </c>
      <c r="C5" s="18" t="s">
        <v>123</v>
      </c>
      <c r="D5" s="18" t="s">
        <v>124</v>
      </c>
      <c r="E5" s="18" t="s">
        <v>125</v>
      </c>
      <c r="F5" s="18" t="s">
        <v>126</v>
      </c>
      <c r="G5" s="18" t="s">
        <v>127</v>
      </c>
      <c r="H5" s="18" t="s">
        <v>128</v>
      </c>
    </row>
    <row r="6" spans="1:8" x14ac:dyDescent="0.25">
      <c r="A6" s="19" t="s">
        <v>129</v>
      </c>
      <c r="B6" s="10">
        <f>B9-B7+B8</f>
        <v>41256</v>
      </c>
      <c r="C6" s="20">
        <v>43715</v>
      </c>
      <c r="D6" s="20">
        <v>45680</v>
      </c>
      <c r="E6" s="10">
        <f>D9</f>
        <v>49834</v>
      </c>
      <c r="F6" s="10">
        <f>E9</f>
        <v>53840.880000000005</v>
      </c>
      <c r="G6" s="10">
        <f>F9</f>
        <v>58735.521600000007</v>
      </c>
      <c r="H6" s="10">
        <f>G9</f>
        <v>62806.127712000009</v>
      </c>
    </row>
    <row r="7" spans="1:8" x14ac:dyDescent="0.25">
      <c r="A7" s="19" t="s">
        <v>130</v>
      </c>
      <c r="B7" s="20">
        <v>10959</v>
      </c>
      <c r="C7" s="20">
        <v>9447</v>
      </c>
      <c r="D7" s="20">
        <v>12715</v>
      </c>
      <c r="E7" s="14">
        <f>Model!E15</f>
        <v>12977</v>
      </c>
      <c r="F7" s="14">
        <f>Model!F15</f>
        <v>14586</v>
      </c>
      <c r="G7" s="14">
        <f>Model!G15</f>
        <v>14643</v>
      </c>
      <c r="H7" s="14">
        <f>Model!H15</f>
        <v>16288</v>
      </c>
    </row>
    <row r="8" spans="1:8" x14ac:dyDescent="0.25">
      <c r="A8" s="19" t="s">
        <v>131</v>
      </c>
      <c r="B8" s="20">
        <v>8500</v>
      </c>
      <c r="C8" s="20">
        <v>8200</v>
      </c>
      <c r="D8" s="20">
        <v>8000</v>
      </c>
      <c r="E8" s="10">
        <f>E6*Model!$B$38</f>
        <v>8970.119999999999</v>
      </c>
      <c r="F8" s="10">
        <f>F6*Model!$B$38</f>
        <v>9691.358400000001</v>
      </c>
      <c r="G8" s="10">
        <f>G6*Model!$B$38</f>
        <v>10572.393888000001</v>
      </c>
      <c r="H8" s="10">
        <f>H6*Model!$B$38</f>
        <v>11305.102988160001</v>
      </c>
    </row>
    <row r="9" spans="1:8" x14ac:dyDescent="0.25">
      <c r="A9" s="19" t="s">
        <v>132</v>
      </c>
      <c r="B9" s="20">
        <v>43715</v>
      </c>
      <c r="C9" s="20">
        <v>45680</v>
      </c>
      <c r="D9" s="20">
        <v>49834</v>
      </c>
      <c r="E9" s="10">
        <f>E6+E7-E8</f>
        <v>53840.880000000005</v>
      </c>
      <c r="F9" s="10">
        <f>F6+F7-F8</f>
        <v>58735.521600000007</v>
      </c>
      <c r="G9" s="10">
        <f>G6+G7-G8</f>
        <v>62806.127712000009</v>
      </c>
      <c r="H9" s="10">
        <f>H6+H7-H8</f>
        <v>67789.024723840019</v>
      </c>
    </row>
    <row r="10" spans="1:8" x14ac:dyDescent="0.25">
      <c r="A10" s="16" t="s">
        <v>8</v>
      </c>
      <c r="B10" s="16" t="s">
        <v>8</v>
      </c>
      <c r="C10" s="16" t="s">
        <v>8</v>
      </c>
      <c r="D10" s="16" t="s">
        <v>8</v>
      </c>
      <c r="E10" s="16" t="s">
        <v>8</v>
      </c>
      <c r="F10" s="16" t="s">
        <v>8</v>
      </c>
      <c r="G10" s="16" t="s">
        <v>8</v>
      </c>
      <c r="H10" s="16" t="s">
        <v>8</v>
      </c>
    </row>
    <row r="11" spans="1:8" x14ac:dyDescent="0.25">
      <c r="A11" s="19" t="s">
        <v>133</v>
      </c>
      <c r="B11" s="10">
        <v>3019</v>
      </c>
      <c r="C11" s="10">
        <v>3245</v>
      </c>
      <c r="D11" s="10">
        <v>3698</v>
      </c>
      <c r="E11" s="14">
        <f>Model!$B$39</f>
        <v>3698</v>
      </c>
      <c r="F11" s="14">
        <f>Model!$B$39</f>
        <v>3698</v>
      </c>
      <c r="G11" s="14">
        <f>Model!$B$39</f>
        <v>3698</v>
      </c>
      <c r="H11" s="14">
        <f>Model!$B$39</f>
        <v>3698</v>
      </c>
    </row>
    <row r="12" spans="1:8" x14ac:dyDescent="0.25">
      <c r="A12" s="19" t="s">
        <v>134</v>
      </c>
      <c r="B12" s="10">
        <f t="shared" ref="B12:H12" si="0">B8+B11</f>
        <v>11519</v>
      </c>
      <c r="C12" s="10">
        <f t="shared" si="0"/>
        <v>11445</v>
      </c>
      <c r="D12" s="10">
        <f t="shared" si="0"/>
        <v>11698</v>
      </c>
      <c r="E12" s="10">
        <f t="shared" si="0"/>
        <v>12668.119999999999</v>
      </c>
      <c r="F12" s="10">
        <f t="shared" si="0"/>
        <v>13389.358400000001</v>
      </c>
      <c r="G12" s="10">
        <f t="shared" si="0"/>
        <v>14270.393888000001</v>
      </c>
      <c r="H12" s="10">
        <f t="shared" si="0"/>
        <v>15003.102988160001</v>
      </c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showGridLines="0" workbookViewId="0">
      <selection activeCell="E7" sqref="E7"/>
    </sheetView>
  </sheetViews>
  <sheetFormatPr defaultRowHeight="15" x14ac:dyDescent="0.25"/>
  <cols>
    <col min="1" max="1" width="34" customWidth="1"/>
    <col min="2" max="8" width="14" customWidth="1"/>
  </cols>
  <sheetData>
    <row r="1" spans="1:8" ht="21" x14ac:dyDescent="0.25">
      <c r="A1" s="1" t="s">
        <v>135</v>
      </c>
    </row>
    <row r="2" spans="1:8" x14ac:dyDescent="0.25">
      <c r="A2" s="2" t="s">
        <v>136</v>
      </c>
    </row>
    <row r="5" spans="1:8" x14ac:dyDescent="0.25">
      <c r="A5" s="8" t="s">
        <v>121</v>
      </c>
      <c r="B5" s="18" t="s">
        <v>122</v>
      </c>
      <c r="C5" s="18" t="s">
        <v>123</v>
      </c>
      <c r="D5" s="18" t="s">
        <v>124</v>
      </c>
      <c r="E5" s="18" t="s">
        <v>125</v>
      </c>
      <c r="F5" s="18" t="s">
        <v>126</v>
      </c>
      <c r="G5" s="18" t="s">
        <v>127</v>
      </c>
      <c r="H5" s="18" t="s">
        <v>128</v>
      </c>
    </row>
    <row r="6" spans="1:8" x14ac:dyDescent="0.25">
      <c r="A6" s="19" t="s">
        <v>137</v>
      </c>
      <c r="B6" s="20">
        <v>29508</v>
      </c>
      <c r="C6" s="20">
        <v>33410</v>
      </c>
      <c r="D6" s="20">
        <v>39777</v>
      </c>
      <c r="E6" s="10">
        <f>Model!E46*Model!$B$27</f>
        <v>39730.881822476593</v>
      </c>
      <c r="F6" s="10">
        <f>Model!F46*Model!$B$27</f>
        <v>42352.069242922036</v>
      </c>
      <c r="G6" s="10">
        <f>Model!G46*Model!$B$27</f>
        <v>44709.486671291023</v>
      </c>
      <c r="H6" s="10">
        <f>Model!H46*Model!$B$27</f>
        <v>46924.569787013599</v>
      </c>
    </row>
    <row r="7" spans="1:8" x14ac:dyDescent="0.25">
      <c r="A7" s="19" t="s">
        <v>95</v>
      </c>
      <c r="B7" s="20">
        <v>31477</v>
      </c>
      <c r="C7" s="20">
        <v>32833</v>
      </c>
      <c r="D7" s="20">
        <v>33180</v>
      </c>
      <c r="E7" s="10">
        <f>Model!E46*Model!$B$28</f>
        <v>37853.663806528079</v>
      </c>
      <c r="F7" s="10">
        <f>Model!F46*Model!$B$28</f>
        <v>40351.004485518759</v>
      </c>
      <c r="G7" s="10">
        <f>Model!G46*Model!$B$28</f>
        <v>42597.037865393213</v>
      </c>
      <c r="H7" s="10">
        <f>Model!H46*Model!$B$28</f>
        <v>44707.461991913464</v>
      </c>
    </row>
    <row r="8" spans="1:8" x14ac:dyDescent="0.25">
      <c r="A8" s="19" t="s">
        <v>96</v>
      </c>
      <c r="B8" s="20">
        <v>6331</v>
      </c>
      <c r="C8" s="20">
        <v>7286</v>
      </c>
      <c r="D8" s="20">
        <v>5718</v>
      </c>
      <c r="E8" s="10">
        <f>Model!E46*Model!$B$29</f>
        <v>7528.652755656668</v>
      </c>
      <c r="F8" s="10">
        <f>Model!F46*Model!$B$29</f>
        <v>8025.344723990107</v>
      </c>
      <c r="G8" s="10">
        <f>Model!G46*Model!$B$29</f>
        <v>8472.054598128434</v>
      </c>
      <c r="H8" s="10">
        <f>Model!H46*Model!$B$29</f>
        <v>8891.7933715517574</v>
      </c>
    </row>
    <row r="9" spans="1:8" x14ac:dyDescent="0.25">
      <c r="A9" s="19" t="s">
        <v>97</v>
      </c>
      <c r="B9" s="20">
        <v>14695</v>
      </c>
      <c r="C9" s="20">
        <v>14287</v>
      </c>
      <c r="D9" s="20">
        <v>14585</v>
      </c>
      <c r="E9" s="10">
        <f>Model!E46*Model!$B$30</f>
        <v>16927.07887443357</v>
      </c>
      <c r="F9" s="10">
        <f>Model!F46*Model!$B$30</f>
        <v>18043.818402360499</v>
      </c>
      <c r="G9" s="10">
        <f>Model!G46*Model!$B$30</f>
        <v>19048.180473362696</v>
      </c>
      <c r="H9" s="10">
        <f>Model!H46*Model!$B$30</f>
        <v>19991.901953816989</v>
      </c>
    </row>
    <row r="10" spans="1:8" x14ac:dyDescent="0.25">
      <c r="A10" s="16" t="s">
        <v>8</v>
      </c>
      <c r="B10" s="16"/>
      <c r="C10" s="16"/>
      <c r="D10" s="16"/>
      <c r="E10" s="16"/>
      <c r="F10" s="16"/>
      <c r="G10" s="16"/>
      <c r="H10" s="16"/>
    </row>
    <row r="11" spans="1:8" x14ac:dyDescent="0.25">
      <c r="A11" s="19" t="s">
        <v>106</v>
      </c>
      <c r="B11" s="20">
        <v>62611</v>
      </c>
      <c r="C11" s="20">
        <v>68960</v>
      </c>
      <c r="D11" s="20">
        <v>69860</v>
      </c>
      <c r="E11" s="10">
        <f>Model!E46*Model!$B$31</f>
        <v>78161.807034025071</v>
      </c>
      <c r="F11" s="10">
        <f>Model!F46*Model!$B$31</f>
        <v>83318.419119110156</v>
      </c>
      <c r="G11" s="10">
        <f>Model!G46*Model!$B$31</f>
        <v>87956.121522951216</v>
      </c>
      <c r="H11" s="10">
        <f>Model!H46*Model!$B$31</f>
        <v>92313.812344640683</v>
      </c>
    </row>
    <row r="12" spans="1:8" x14ac:dyDescent="0.25">
      <c r="A12" s="19" t="s">
        <v>107</v>
      </c>
      <c r="B12" s="20">
        <v>58829</v>
      </c>
      <c r="C12" s="20">
        <v>78304</v>
      </c>
      <c r="D12" s="20">
        <v>66387</v>
      </c>
      <c r="E12" s="10">
        <f>Model!E46*Model!$B$32</f>
        <v>79036.922523781162</v>
      </c>
      <c r="F12" s="10">
        <f>Model!F46*Model!$B$32</f>
        <v>84251.269086631815</v>
      </c>
      <c r="G12" s="10">
        <f>Model!G46*Model!$B$32</f>
        <v>88940.896149900364</v>
      </c>
      <c r="H12" s="10">
        <f>Model!H46*Model!$B$32</f>
        <v>93347.376564388891</v>
      </c>
    </row>
    <row r="13" spans="1:8" x14ac:dyDescent="0.25">
      <c r="A13" s="19" t="s">
        <v>108</v>
      </c>
      <c r="B13" s="20">
        <v>8061</v>
      </c>
      <c r="C13" s="20">
        <v>8249</v>
      </c>
      <c r="D13" s="20">
        <v>9055</v>
      </c>
      <c r="E13" s="10">
        <f>Model!E46*Model!$B$33</f>
        <v>9837.7230128290194</v>
      </c>
      <c r="F13" s="10">
        <f>Model!F46*Model!$B$33</f>
        <v>10486.752549154742</v>
      </c>
      <c r="G13" s="10">
        <f>Model!G46*Model!$B$33</f>
        <v>11070.470267516326</v>
      </c>
      <c r="H13" s="10">
        <f>Model!H46*Model!$B$33</f>
        <v>11618.944732297654</v>
      </c>
    </row>
    <row r="14" spans="1:8" x14ac:dyDescent="0.25">
      <c r="A14" s="16" t="s">
        <v>8</v>
      </c>
      <c r="B14" s="16"/>
      <c r="C14" s="16"/>
      <c r="D14" s="16"/>
      <c r="E14" s="16"/>
      <c r="F14" s="16"/>
      <c r="G14" s="16"/>
      <c r="H14" s="16"/>
    </row>
    <row r="15" spans="1:8" x14ac:dyDescent="0.25">
      <c r="A15" s="19" t="s">
        <v>138</v>
      </c>
      <c r="B15" s="10">
        <f t="shared" ref="B15:H15" si="0">B6+B7+B8+B9-B11-B12-B13</f>
        <v>-47490</v>
      </c>
      <c r="C15" s="10">
        <f t="shared" si="0"/>
        <v>-67697</v>
      </c>
      <c r="D15" s="10">
        <f t="shared" si="0"/>
        <v>-52042</v>
      </c>
      <c r="E15" s="10">
        <f t="shared" si="0"/>
        <v>-64996.175311540333</v>
      </c>
      <c r="F15" s="10">
        <f t="shared" si="0"/>
        <v>-69284.20390010532</v>
      </c>
      <c r="G15" s="10">
        <f t="shared" si="0"/>
        <v>-73140.728332192535</v>
      </c>
      <c r="H15" s="10">
        <f t="shared" si="0"/>
        <v>-76764.40653703142</v>
      </c>
    </row>
    <row r="16" spans="1:8" x14ac:dyDescent="0.25">
      <c r="A16" s="16" t="s">
        <v>8</v>
      </c>
      <c r="B16" s="16"/>
      <c r="C16" s="16"/>
      <c r="D16" s="16"/>
      <c r="E16" s="16"/>
      <c r="F16" s="16"/>
      <c r="G16" s="16"/>
      <c r="H16" s="16"/>
    </row>
    <row r="17" spans="1:8" x14ac:dyDescent="0.25">
      <c r="A17" s="19" t="s">
        <v>139</v>
      </c>
      <c r="B17" s="21">
        <f>IFERROR(B6/Model!B46*365,0)</f>
        <v>28.100290906244702</v>
      </c>
      <c r="C17" s="21">
        <f>IFERROR(C6/Model!C46*365,0)</f>
        <v>31.185571624023428</v>
      </c>
      <c r="D17" s="21">
        <f>IFERROR(D6/Model!D46*365,0)</f>
        <v>34.886990852098108</v>
      </c>
      <c r="E17" s="21">
        <f>IFERROR(E6/Model!E46*365,0)</f>
        <v>31.390951127455409</v>
      </c>
      <c r="F17" s="21">
        <f>IFERROR(F6/Model!F46*365,0)</f>
        <v>31.390951127455409</v>
      </c>
      <c r="G17" s="21">
        <f>IFERROR(G6/Model!G46*365,0)</f>
        <v>31.390951127455409</v>
      </c>
      <c r="H17" s="21">
        <f>IFERROR(H6/Model!H46*365,0)</f>
        <v>31.390951127455409</v>
      </c>
    </row>
    <row r="18" spans="1:8" x14ac:dyDescent="0.25">
      <c r="A18" s="19" t="s">
        <v>140</v>
      </c>
      <c r="B18" s="21">
        <f>IFERROR(B8/Model!B50*365,0)</f>
        <v>10.791292490321617</v>
      </c>
      <c r="C18" s="21">
        <f>IFERROR(C8/Model!C50*365,0)</f>
        <v>12.642570548414087</v>
      </c>
      <c r="D18" s="21">
        <f>IFERROR(D8/Model!D50*365,0)</f>
        <v>9.4454652425778427</v>
      </c>
      <c r="E18" s="21">
        <f>IFERROR(E8/Model!E50*365,0)</f>
        <v>11.383375610766665</v>
      </c>
      <c r="F18" s="21">
        <f>IFERROR(F8/Model!F50*365,0)</f>
        <v>11.373567065903533</v>
      </c>
      <c r="G18" s="21">
        <f>IFERROR(G8/Model!G50*365,0)</f>
        <v>11.590633668487849</v>
      </c>
      <c r="H18" s="21">
        <f>IFERROR(H8/Model!H50*365,0)</f>
        <v>10.740764479961053</v>
      </c>
    </row>
    <row r="19" spans="1:8" x14ac:dyDescent="0.25">
      <c r="A19" s="19" t="s">
        <v>141</v>
      </c>
      <c r="B19" s="21">
        <f>IFERROR(B11/Model!B50*365,0)</f>
        <v>106.72146803214764</v>
      </c>
      <c r="C19" s="21">
        <f>IFERROR(C11/Model!C50*365,0)</f>
        <v>119.65847721913744</v>
      </c>
      <c r="D19" s="21">
        <f>IFERROR(D11/Model!D50*365,0)</f>
        <v>115.40052498189718</v>
      </c>
      <c r="E19" s="21">
        <f>IFERROR(E11/Model!E50*365,0)</f>
        <v>118.18119878301727</v>
      </c>
      <c r="F19" s="21">
        <f>IFERROR(F11/Model!F50*365,0)</f>
        <v>118.07936733776954</v>
      </c>
      <c r="G19" s="21">
        <f>IFERROR(G11/Model!G50*365,0)</f>
        <v>120.33293360724304</v>
      </c>
      <c r="H19" s="21">
        <f>IFERROR(H11/Model!H50*365,0)</f>
        <v>111.50966685903441</v>
      </c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showGridLines="0" workbookViewId="0">
      <selection activeCell="E11" sqref="E11"/>
    </sheetView>
  </sheetViews>
  <sheetFormatPr defaultRowHeight="15" x14ac:dyDescent="0.25"/>
  <cols>
    <col min="1" max="1" width="34" customWidth="1"/>
    <col min="2" max="8" width="14" customWidth="1"/>
  </cols>
  <sheetData>
    <row r="1" spans="1:8" ht="21" x14ac:dyDescent="0.25">
      <c r="A1" s="1" t="s">
        <v>142</v>
      </c>
    </row>
    <row r="2" spans="1:8" x14ac:dyDescent="0.25">
      <c r="A2" s="2" t="s">
        <v>120</v>
      </c>
    </row>
    <row r="5" spans="1:8" x14ac:dyDescent="0.25">
      <c r="A5" s="8" t="s">
        <v>121</v>
      </c>
      <c r="B5" s="18" t="s">
        <v>122</v>
      </c>
      <c r="C5" s="18" t="s">
        <v>123</v>
      </c>
      <c r="D5" s="18" t="s">
        <v>124</v>
      </c>
      <c r="E5" s="18" t="s">
        <v>125</v>
      </c>
      <c r="F5" s="18" t="s">
        <v>126</v>
      </c>
      <c r="G5" s="18" t="s">
        <v>127</v>
      </c>
      <c r="H5" s="18" t="s">
        <v>128</v>
      </c>
    </row>
    <row r="6" spans="1:8" x14ac:dyDescent="0.25">
      <c r="A6" s="19" t="s">
        <v>143</v>
      </c>
      <c r="B6" s="10">
        <v>50672</v>
      </c>
      <c r="C6" s="20">
        <v>62146</v>
      </c>
      <c r="D6" s="20">
        <v>56950</v>
      </c>
      <c r="E6" s="10">
        <f>D10</f>
        <v>73733</v>
      </c>
      <c r="F6" s="10">
        <f>E10</f>
        <v>96102</v>
      </c>
      <c r="G6" s="10">
        <f>F10</f>
        <v>127895</v>
      </c>
      <c r="H6" s="10">
        <f>G10</f>
        <v>176051</v>
      </c>
    </row>
    <row r="7" spans="1:8" x14ac:dyDescent="0.25">
      <c r="A7" s="19" t="s">
        <v>58</v>
      </c>
      <c r="B7" s="20">
        <v>96995</v>
      </c>
      <c r="C7" s="20">
        <v>93736</v>
      </c>
      <c r="D7" s="20">
        <v>112010</v>
      </c>
      <c r="E7" s="6">
        <v>123613</v>
      </c>
      <c r="F7" s="6">
        <v>132562</v>
      </c>
      <c r="G7" s="6">
        <v>143185</v>
      </c>
      <c r="H7" s="6">
        <v>153917</v>
      </c>
    </row>
    <row r="8" spans="1:8" x14ac:dyDescent="0.25">
      <c r="A8" s="19" t="s">
        <v>82</v>
      </c>
      <c r="B8" s="20">
        <v>-15025</v>
      </c>
      <c r="C8" s="20">
        <v>-15234</v>
      </c>
      <c r="D8" s="20">
        <v>-15421</v>
      </c>
      <c r="E8" s="10">
        <f>-Model!E14*Model!E61</f>
        <v>-15652.770414201186</v>
      </c>
      <c r="F8" s="10">
        <f>-Model!F14*Model!F61</f>
        <v>-16033.41684665227</v>
      </c>
      <c r="G8" s="10">
        <f>-Model!G14*Model!G61</f>
        <v>-16392.020547945205</v>
      </c>
      <c r="H8" s="10">
        <f>-Model!H14*Model!H61</f>
        <v>-14600.282801418442</v>
      </c>
    </row>
    <row r="9" spans="1:8" x14ac:dyDescent="0.25">
      <c r="A9" s="19" t="s">
        <v>144</v>
      </c>
      <c r="B9" s="20">
        <v>0</v>
      </c>
      <c r="C9" s="20">
        <v>0</v>
      </c>
      <c r="D9" s="20">
        <v>0</v>
      </c>
      <c r="E9" s="10">
        <v>0</v>
      </c>
      <c r="F9" s="10">
        <v>0</v>
      </c>
      <c r="G9" s="10">
        <v>0</v>
      </c>
      <c r="H9" s="10">
        <v>0</v>
      </c>
    </row>
    <row r="10" spans="1:8" x14ac:dyDescent="0.25">
      <c r="A10" s="19" t="s">
        <v>145</v>
      </c>
      <c r="B10" s="20">
        <v>62146</v>
      </c>
      <c r="C10" s="20">
        <v>56950</v>
      </c>
      <c r="D10" s="20">
        <v>73733</v>
      </c>
      <c r="E10" s="6">
        <v>96102</v>
      </c>
      <c r="F10" s="6">
        <v>127895</v>
      </c>
      <c r="G10" s="6">
        <v>176051</v>
      </c>
      <c r="H10" s="6">
        <v>224207</v>
      </c>
    </row>
    <row r="11" spans="1:8" x14ac:dyDescent="0.25">
      <c r="A11" s="19" t="s">
        <v>146</v>
      </c>
      <c r="B11" s="10">
        <f t="shared" ref="B11:H11" si="0">B10-(B6+B7+B9+B8)</f>
        <v>-70496</v>
      </c>
      <c r="C11" s="10">
        <f t="shared" si="0"/>
        <v>-83698</v>
      </c>
      <c r="D11" s="10">
        <f t="shared" si="0"/>
        <v>-79806</v>
      </c>
      <c r="E11" s="10">
        <f t="shared" si="0"/>
        <v>-85591.229585798807</v>
      </c>
      <c r="F11" s="10">
        <f t="shared" si="0"/>
        <v>-84735.583153347718</v>
      </c>
      <c r="G11" s="10">
        <f t="shared" si="0"/>
        <v>-78636.979452054802</v>
      </c>
      <c r="H11" s="10">
        <f t="shared" si="0"/>
        <v>-91160.717198581551</v>
      </c>
    </row>
  </sheetData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"/>
  <sheetViews>
    <sheetView showGridLines="0" workbookViewId="0"/>
  </sheetViews>
  <sheetFormatPr defaultRowHeight="15" x14ac:dyDescent="0.25"/>
  <cols>
    <col min="1" max="1" width="22" customWidth="1"/>
    <col min="2" max="2" width="70" customWidth="1"/>
    <col min="3" max="3" width="55" customWidth="1"/>
    <col min="4" max="4" width="14" customWidth="1"/>
  </cols>
  <sheetData>
    <row r="1" spans="1:4" ht="21" x14ac:dyDescent="0.25">
      <c r="A1" s="1" t="s">
        <v>147</v>
      </c>
    </row>
    <row r="2" spans="1:4" x14ac:dyDescent="0.25">
      <c r="A2" s="2" t="s">
        <v>148</v>
      </c>
    </row>
    <row r="4" spans="1:4" x14ac:dyDescent="0.25">
      <c r="A4" s="18" t="s">
        <v>149</v>
      </c>
      <c r="B4" s="18" t="s">
        <v>150</v>
      </c>
      <c r="C4" s="18" t="s">
        <v>151</v>
      </c>
      <c r="D4" s="18" t="s">
        <v>152</v>
      </c>
    </row>
    <row r="5" spans="1:4" ht="24" x14ac:dyDescent="0.25">
      <c r="A5" s="9" t="s">
        <v>153</v>
      </c>
      <c r="B5" s="22" t="s">
        <v>154</v>
      </c>
      <c r="C5" s="23" t="s">
        <v>155</v>
      </c>
      <c r="D5" s="24" t="s">
        <v>3</v>
      </c>
    </row>
    <row r="6" spans="1:4" ht="15.75" x14ac:dyDescent="0.25">
      <c r="A6" s="9" t="s">
        <v>153</v>
      </c>
      <c r="B6" s="22" t="s">
        <v>156</v>
      </c>
      <c r="C6" s="23" t="s">
        <v>157</v>
      </c>
      <c r="D6" s="24" t="s">
        <v>3</v>
      </c>
    </row>
    <row r="7" spans="1:4" ht="15.75" x14ac:dyDescent="0.25">
      <c r="A7" s="9" t="s">
        <v>158</v>
      </c>
      <c r="B7" s="22" t="s">
        <v>159</v>
      </c>
      <c r="C7" s="23" t="s">
        <v>160</v>
      </c>
      <c r="D7" s="24" t="s">
        <v>3</v>
      </c>
    </row>
    <row r="8" spans="1:4" ht="15.75" x14ac:dyDescent="0.25">
      <c r="A8" s="9" t="s">
        <v>161</v>
      </c>
      <c r="B8" s="22" t="s">
        <v>162</v>
      </c>
      <c r="C8" s="23" t="s">
        <v>163</v>
      </c>
      <c r="D8" s="24" t="s">
        <v>3</v>
      </c>
    </row>
    <row r="9" spans="1:4" ht="24" x14ac:dyDescent="0.25">
      <c r="A9" s="9" t="s">
        <v>164</v>
      </c>
      <c r="B9" s="22" t="s">
        <v>165</v>
      </c>
      <c r="C9" s="23" t="s">
        <v>166</v>
      </c>
      <c r="D9" s="24" t="s">
        <v>3</v>
      </c>
    </row>
    <row r="10" spans="1:4" ht="15.75" x14ac:dyDescent="0.25">
      <c r="A10" s="9" t="s">
        <v>167</v>
      </c>
      <c r="B10" s="22" t="s">
        <v>168</v>
      </c>
      <c r="C10" s="23" t="s">
        <v>169</v>
      </c>
      <c r="D10" s="24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Model</vt:lpstr>
      <vt:lpstr>Support_PPE</vt:lpstr>
      <vt:lpstr>Support_WC</vt:lpstr>
      <vt:lpstr>Support_Equity</vt:lpstr>
      <vt:lpstr>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 Street Prep</dc:creator>
  <cp:lastModifiedBy>Wall Street Prep</cp:lastModifiedBy>
  <dcterms:created xsi:type="dcterms:W3CDTF">2026-02-06T16:16:54Z</dcterms:created>
  <dcterms:modified xsi:type="dcterms:W3CDTF">2026-02-11T13:25:30Z</dcterms:modified>
</cp:coreProperties>
</file>