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feld\Wall Street Prep Dropbox\Matan Feldman\Marketing\AI Tools Ranking\"/>
    </mc:Choice>
  </mc:AlternateContent>
  <xr:revisionPtr revIDLastSave="0" documentId="8_{5712EB05-71C3-452D-A7FC-D2CF46E8B49E}" xr6:coauthVersionLast="47" xr6:coauthVersionMax="47" xr10:uidLastSave="{00000000-0000-0000-0000-000000000000}"/>
  <bookViews>
    <workbookView xWindow="-120" yWindow="-120" windowWidth="29040" windowHeight="15840" xr2:uid="{29105341-E69B-43C2-9890-BB27D16E33FF}"/>
  </bookViews>
  <sheets>
    <sheet name="Model" sheetId="2" r:id="rId1"/>
    <sheet name="Schedules" sheetId="3" r:id="rId2"/>
    <sheet name="Sources" sheetId="4" r:id="rId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3" l="1"/>
  <c r="P22" i="3"/>
  <c r="D36" i="3"/>
  <c r="E36" i="3"/>
  <c r="F36" i="3"/>
  <c r="G36" i="3"/>
  <c r="H36" i="3"/>
  <c r="I36" i="3"/>
  <c r="J36" i="3"/>
  <c r="C36" i="3"/>
  <c r="D35" i="3"/>
  <c r="E35" i="3"/>
  <c r="F35" i="3"/>
  <c r="G35" i="3"/>
  <c r="H35" i="3"/>
  <c r="I35" i="3"/>
  <c r="J35" i="3"/>
  <c r="C35" i="3"/>
  <c r="D34" i="3"/>
  <c r="D37" i="3" s="1"/>
  <c r="E34" i="3"/>
  <c r="E37" i="3" s="1"/>
  <c r="F34" i="3"/>
  <c r="F37" i="3" s="1"/>
  <c r="G34" i="3"/>
  <c r="G37" i="3" s="1"/>
  <c r="H34" i="3"/>
  <c r="H37" i="3" s="1"/>
  <c r="I34" i="3"/>
  <c r="I37" i="3" s="1"/>
  <c r="J34" i="3"/>
  <c r="J37" i="3" s="1"/>
  <c r="C34" i="3"/>
  <c r="C37" i="3" s="1"/>
  <c r="D31" i="3"/>
  <c r="E31" i="3"/>
  <c r="F31" i="3"/>
  <c r="G31" i="3"/>
  <c r="H31" i="3"/>
  <c r="I31" i="3"/>
  <c r="J31" i="3"/>
  <c r="C31" i="3"/>
  <c r="D30" i="3"/>
  <c r="E30" i="3"/>
  <c r="F30" i="3"/>
  <c r="G30" i="3"/>
  <c r="H30" i="3"/>
  <c r="I30" i="3"/>
  <c r="J30" i="3"/>
  <c r="C30" i="3"/>
  <c r="D29" i="3"/>
  <c r="D32" i="3" s="1"/>
  <c r="E29" i="3"/>
  <c r="E32" i="3" s="1"/>
  <c r="F29" i="3"/>
  <c r="F32" i="3" s="1"/>
  <c r="G29" i="3"/>
  <c r="G32" i="3" s="1"/>
  <c r="H29" i="3"/>
  <c r="H32" i="3" s="1"/>
  <c r="I29" i="3"/>
  <c r="I32" i="3" s="1"/>
  <c r="J29" i="3"/>
  <c r="J32" i="3" s="1"/>
  <c r="C29" i="3"/>
  <c r="C32" i="3" s="1"/>
  <c r="D21" i="3"/>
  <c r="D25" i="3" s="1"/>
  <c r="E21" i="3"/>
  <c r="E25" i="3" s="1"/>
  <c r="F21" i="3"/>
  <c r="F25" i="3" s="1"/>
  <c r="G21" i="3"/>
  <c r="G25" i="3" s="1"/>
  <c r="H21" i="3"/>
  <c r="H25" i="3" s="1"/>
  <c r="I21" i="3"/>
  <c r="I25" i="3" s="1"/>
  <c r="J21" i="3"/>
  <c r="J25" i="3" s="1"/>
  <c r="C21" i="3"/>
  <c r="C25" i="3" s="1"/>
  <c r="D20" i="3"/>
  <c r="D24" i="3" s="1"/>
  <c r="E20" i="3"/>
  <c r="E24" i="3" s="1"/>
  <c r="F20" i="3"/>
  <c r="F24" i="3" s="1"/>
  <c r="G20" i="3"/>
  <c r="G24" i="3" s="1"/>
  <c r="H20" i="3"/>
  <c r="H24" i="3" s="1"/>
  <c r="I20" i="3"/>
  <c r="I24" i="3" s="1"/>
  <c r="J20" i="3"/>
  <c r="J24" i="3" s="1"/>
  <c r="C20" i="3"/>
  <c r="D11" i="3"/>
  <c r="E11" i="3"/>
  <c r="F11" i="3"/>
  <c r="G11" i="3"/>
  <c r="H11" i="3"/>
  <c r="I11" i="3"/>
  <c r="J11" i="3"/>
  <c r="C11" i="3"/>
  <c r="D10" i="3"/>
  <c r="E10" i="3"/>
  <c r="F10" i="3"/>
  <c r="G10" i="3"/>
  <c r="H10" i="3"/>
  <c r="I10" i="3"/>
  <c r="J10" i="3"/>
  <c r="C10" i="3"/>
  <c r="C12" i="3" s="1"/>
  <c r="D9" i="3" s="1"/>
  <c r="D12" i="3" s="1"/>
  <c r="E9" i="3" s="1"/>
  <c r="E12" i="3" s="1"/>
  <c r="F9" i="3" s="1"/>
  <c r="F12" i="3" s="1"/>
  <c r="G9" i="3" s="1"/>
  <c r="D7" i="3"/>
  <c r="E7" i="3"/>
  <c r="E15" i="3" s="1"/>
  <c r="F7" i="3"/>
  <c r="F15" i="3" s="1"/>
  <c r="G7" i="3"/>
  <c r="G15" i="3" s="1"/>
  <c r="H7" i="3"/>
  <c r="D6" i="3"/>
  <c r="E6" i="3"/>
  <c r="F6" i="3"/>
  <c r="G6" i="3"/>
  <c r="H6" i="3"/>
  <c r="I6" i="3"/>
  <c r="J6" i="3"/>
  <c r="C6" i="3"/>
  <c r="D5" i="3"/>
  <c r="E5" i="3"/>
  <c r="F5" i="3"/>
  <c r="G5" i="3"/>
  <c r="H5" i="3"/>
  <c r="I5" i="3"/>
  <c r="I7" i="3" s="1"/>
  <c r="J5" i="3"/>
  <c r="J7" i="3" s="1"/>
  <c r="C5" i="3"/>
  <c r="C7" i="3" s="1"/>
  <c r="C15" i="3" s="1"/>
  <c r="C111" i="2"/>
  <c r="E110" i="2"/>
  <c r="E111" i="2" s="1"/>
  <c r="F110" i="2"/>
  <c r="G110" i="2"/>
  <c r="H110" i="2"/>
  <c r="I110" i="2"/>
  <c r="J110" i="2"/>
  <c r="D110" i="2"/>
  <c r="D111" i="2" s="1"/>
  <c r="D108" i="2"/>
  <c r="E108" i="2"/>
  <c r="F108" i="2"/>
  <c r="G108" i="2"/>
  <c r="H108" i="2"/>
  <c r="I108" i="2"/>
  <c r="J108" i="2"/>
  <c r="C108" i="2"/>
  <c r="D107" i="2"/>
  <c r="E107" i="2"/>
  <c r="F107" i="2"/>
  <c r="C107" i="2"/>
  <c r="E104" i="2"/>
  <c r="F104" i="2"/>
  <c r="G104" i="2"/>
  <c r="H104" i="2"/>
  <c r="I104" i="2"/>
  <c r="J104" i="2"/>
  <c r="D104" i="2"/>
  <c r="D103" i="2"/>
  <c r="D105" i="2" s="1"/>
  <c r="E103" i="2"/>
  <c r="E105" i="2" s="1"/>
  <c r="F103" i="2"/>
  <c r="F105" i="2" s="1"/>
  <c r="G103" i="2"/>
  <c r="G105" i="2" s="1"/>
  <c r="H103" i="2"/>
  <c r="H105" i="2" s="1"/>
  <c r="I103" i="2"/>
  <c r="I105" i="2" s="1"/>
  <c r="J103" i="2"/>
  <c r="J105" i="2" s="1"/>
  <c r="C103" i="2"/>
  <c r="C105" i="2" s="1"/>
  <c r="E99" i="2"/>
  <c r="F99" i="2"/>
  <c r="G99" i="2"/>
  <c r="H99" i="2"/>
  <c r="I99" i="2"/>
  <c r="J99" i="2"/>
  <c r="D99" i="2"/>
  <c r="E98" i="2"/>
  <c r="F98" i="2"/>
  <c r="G98" i="2"/>
  <c r="H98" i="2"/>
  <c r="I98" i="2"/>
  <c r="J98" i="2"/>
  <c r="D98" i="2"/>
  <c r="E97" i="2"/>
  <c r="F97" i="2"/>
  <c r="G97" i="2"/>
  <c r="H97" i="2"/>
  <c r="I97" i="2"/>
  <c r="J97" i="2"/>
  <c r="D97" i="2"/>
  <c r="D96" i="2"/>
  <c r="E96" i="2"/>
  <c r="F96" i="2"/>
  <c r="G96" i="2"/>
  <c r="H96" i="2"/>
  <c r="I96" i="2"/>
  <c r="J96" i="2"/>
  <c r="C96" i="2"/>
  <c r="D95" i="2"/>
  <c r="E95" i="2"/>
  <c r="F95" i="2"/>
  <c r="G95" i="2"/>
  <c r="H95" i="2"/>
  <c r="I95" i="2"/>
  <c r="J95" i="2"/>
  <c r="C95" i="2"/>
  <c r="D94" i="2"/>
  <c r="D101" i="2" s="1"/>
  <c r="D113" i="2" s="1"/>
  <c r="E94" i="2"/>
  <c r="E101" i="2" s="1"/>
  <c r="E113" i="2" s="1"/>
  <c r="G94" i="2"/>
  <c r="G101" i="2" s="1"/>
  <c r="H94" i="2"/>
  <c r="H101" i="2" s="1"/>
  <c r="I94" i="2"/>
  <c r="I101" i="2" s="1"/>
  <c r="J94" i="2"/>
  <c r="J101" i="2" s="1"/>
  <c r="C94" i="2"/>
  <c r="C101" i="2" s="1"/>
  <c r="C113" i="2" s="1"/>
  <c r="C115" i="2" s="1"/>
  <c r="G87" i="2"/>
  <c r="H87" i="2" s="1"/>
  <c r="I87" i="2" s="1"/>
  <c r="J87" i="2" s="1"/>
  <c r="G85" i="2"/>
  <c r="G81" i="2"/>
  <c r="H81" i="2" s="1"/>
  <c r="I81" i="2" s="1"/>
  <c r="J81" i="2" s="1"/>
  <c r="G77" i="2"/>
  <c r="H77" i="2" s="1"/>
  <c r="I77" i="2" s="1"/>
  <c r="J77" i="2" s="1"/>
  <c r="G76" i="2"/>
  <c r="H76" i="2" s="1"/>
  <c r="G71" i="2"/>
  <c r="H71" i="2" s="1"/>
  <c r="I71" i="2" s="1"/>
  <c r="J71" i="2" s="1"/>
  <c r="H64" i="2"/>
  <c r="I64" i="2" s="1"/>
  <c r="J64" i="2" s="1"/>
  <c r="G64" i="2"/>
  <c r="G70" i="2"/>
  <c r="H70" i="2" s="1"/>
  <c r="I70" i="2" s="1"/>
  <c r="J70" i="2" s="1"/>
  <c r="H75" i="2"/>
  <c r="I75" i="2"/>
  <c r="J75" i="2"/>
  <c r="G75" i="2"/>
  <c r="H66" i="2"/>
  <c r="I66" i="2"/>
  <c r="J66" i="2"/>
  <c r="G66" i="2"/>
  <c r="H65" i="2"/>
  <c r="I65" i="2"/>
  <c r="J65" i="2"/>
  <c r="G65" i="2"/>
  <c r="D88" i="2"/>
  <c r="E88" i="2"/>
  <c r="F88" i="2"/>
  <c r="C88" i="2"/>
  <c r="D78" i="2"/>
  <c r="D82" i="2" s="1"/>
  <c r="D89" i="2" s="1"/>
  <c r="E78" i="2"/>
  <c r="E82" i="2" s="1"/>
  <c r="E89" i="2" s="1"/>
  <c r="F78" i="2"/>
  <c r="F82" i="2" s="1"/>
  <c r="F89" i="2" s="1"/>
  <c r="G78" i="2"/>
  <c r="G82" i="2" s="1"/>
  <c r="C78" i="2"/>
  <c r="C82" i="2" s="1"/>
  <c r="C89" i="2" s="1"/>
  <c r="D68" i="2"/>
  <c r="D72" i="2" s="1"/>
  <c r="E68" i="2"/>
  <c r="E72" i="2" s="1"/>
  <c r="F68" i="2"/>
  <c r="F72" i="2" s="1"/>
  <c r="C68" i="2"/>
  <c r="C72" i="2" s="1"/>
  <c r="D47" i="2"/>
  <c r="E47" i="2"/>
  <c r="F47" i="2"/>
  <c r="C47" i="2"/>
  <c r="H42" i="2"/>
  <c r="D41" i="2"/>
  <c r="D43" i="2" s="1"/>
  <c r="E41" i="2"/>
  <c r="E43" i="2" s="1"/>
  <c r="F41" i="2"/>
  <c r="F43" i="2" s="1"/>
  <c r="G41" i="2"/>
  <c r="H41" i="2"/>
  <c r="I41" i="2"/>
  <c r="J41" i="2"/>
  <c r="C41" i="2"/>
  <c r="C43" i="2" s="1"/>
  <c r="G35" i="2"/>
  <c r="G11" i="2"/>
  <c r="H11" i="2" s="1"/>
  <c r="I11" i="2" s="1"/>
  <c r="J11" i="2" s="1"/>
  <c r="G10" i="2"/>
  <c r="H10" i="2" s="1"/>
  <c r="I10" i="2" s="1"/>
  <c r="J10" i="2" s="1"/>
  <c r="G9" i="2"/>
  <c r="H9" i="2" s="1"/>
  <c r="I9" i="2" s="1"/>
  <c r="J9" i="2" s="1"/>
  <c r="G8" i="2"/>
  <c r="H8" i="2" s="1"/>
  <c r="I8" i="2" s="1"/>
  <c r="J8" i="2" s="1"/>
  <c r="H7" i="2"/>
  <c r="H12" i="2" s="1"/>
  <c r="H20" i="2" s="1"/>
  <c r="I7" i="2"/>
  <c r="I12" i="2" s="1"/>
  <c r="I20" i="2" s="1"/>
  <c r="J7" i="2"/>
  <c r="J12" i="2" s="1"/>
  <c r="G7" i="2"/>
  <c r="G12" i="2" s="1"/>
  <c r="G20" i="2" s="1"/>
  <c r="F20" i="2"/>
  <c r="D20" i="2"/>
  <c r="E19" i="2"/>
  <c r="F19" i="2"/>
  <c r="D19" i="2"/>
  <c r="E18" i="2"/>
  <c r="F18" i="2"/>
  <c r="D18" i="2"/>
  <c r="E17" i="2"/>
  <c r="F17" i="2"/>
  <c r="D17" i="2"/>
  <c r="E16" i="2"/>
  <c r="F16" i="2"/>
  <c r="D16" i="2"/>
  <c r="E15" i="2"/>
  <c r="F15" i="2"/>
  <c r="D15" i="2"/>
  <c r="D12" i="2"/>
  <c r="E20" i="2" s="1"/>
  <c r="E12" i="2"/>
  <c r="F12" i="2"/>
  <c r="C12" i="2"/>
  <c r="F111" i="2" l="1"/>
  <c r="H35" i="2"/>
  <c r="G107" i="2"/>
  <c r="G111" i="2" s="1"/>
  <c r="G113" i="2" s="1"/>
  <c r="G86" i="2"/>
  <c r="G12" i="3"/>
  <c r="H9" i="3" s="1"/>
  <c r="C22" i="3"/>
  <c r="D19" i="3" s="1"/>
  <c r="D22" i="3" s="1"/>
  <c r="E19" i="3" s="1"/>
  <c r="E22" i="3" s="1"/>
  <c r="F19" i="3" s="1"/>
  <c r="F22" i="3" s="1"/>
  <c r="G19" i="3" s="1"/>
  <c r="G22" i="3" s="1"/>
  <c r="H19" i="3" s="1"/>
  <c r="H22" i="3" s="1"/>
  <c r="I19" i="3" s="1"/>
  <c r="I22" i="3" s="1"/>
  <c r="J19" i="3" s="1"/>
  <c r="J22" i="3" s="1"/>
  <c r="C24" i="3"/>
  <c r="D15" i="3"/>
  <c r="D114" i="2"/>
  <c r="D115" i="2" s="1"/>
  <c r="C116" i="2"/>
  <c r="D90" i="2"/>
  <c r="E90" i="2"/>
  <c r="F90" i="2"/>
  <c r="C90" i="2"/>
  <c r="H85" i="2"/>
  <c r="I76" i="2"/>
  <c r="H78" i="2"/>
  <c r="H82" i="2" s="1"/>
  <c r="D49" i="2"/>
  <c r="D56" i="2"/>
  <c r="E56" i="2"/>
  <c r="E49" i="2"/>
  <c r="F49" i="2"/>
  <c r="F56" i="2"/>
  <c r="G46" i="2"/>
  <c r="G45" i="2"/>
  <c r="G47" i="2" s="1"/>
  <c r="G42" i="2"/>
  <c r="G43" i="2" s="1"/>
  <c r="H46" i="2"/>
  <c r="H45" i="2"/>
  <c r="H47" i="2" s="1"/>
  <c r="H43" i="2"/>
  <c r="I45" i="2"/>
  <c r="I42" i="2"/>
  <c r="I46" i="2"/>
  <c r="I43" i="2"/>
  <c r="J43" i="2"/>
  <c r="J46" i="2"/>
  <c r="J45" i="2"/>
  <c r="J47" i="2" s="1"/>
  <c r="J42" i="2"/>
  <c r="C49" i="2"/>
  <c r="C56" i="2"/>
  <c r="J20" i="2"/>
  <c r="H107" i="2" l="1"/>
  <c r="H111" i="2" s="1"/>
  <c r="H113" i="2" s="1"/>
  <c r="I35" i="2"/>
  <c r="H86" i="2"/>
  <c r="I86" i="2" s="1"/>
  <c r="J86" i="2" s="1"/>
  <c r="G88" i="2"/>
  <c r="G89" i="2" s="1"/>
  <c r="H15" i="3"/>
  <c r="H12" i="3"/>
  <c r="I9" i="3" s="1"/>
  <c r="D116" i="2"/>
  <c r="E114" i="2"/>
  <c r="E115" i="2" s="1"/>
  <c r="H88" i="2"/>
  <c r="H89" i="2" s="1"/>
  <c r="I85" i="2"/>
  <c r="J76" i="2"/>
  <c r="J78" i="2" s="1"/>
  <c r="J82" i="2" s="1"/>
  <c r="I78" i="2"/>
  <c r="I82" i="2" s="1"/>
  <c r="D51" i="2"/>
  <c r="D53" i="2" s="1"/>
  <c r="D57" i="2"/>
  <c r="E51" i="2"/>
  <c r="E53" i="2" s="1"/>
  <c r="E57" i="2"/>
  <c r="F51" i="2"/>
  <c r="F53" i="2" s="1"/>
  <c r="F94" i="2" s="1"/>
  <c r="F101" i="2" s="1"/>
  <c r="F113" i="2" s="1"/>
  <c r="F57" i="2"/>
  <c r="G56" i="2"/>
  <c r="G49" i="2"/>
  <c r="H49" i="2"/>
  <c r="H56" i="2"/>
  <c r="I56" i="2"/>
  <c r="J56" i="2"/>
  <c r="J49" i="2"/>
  <c r="C51" i="2"/>
  <c r="C53" i="2" s="1"/>
  <c r="C57" i="2"/>
  <c r="I47" i="2"/>
  <c r="I49" i="2" s="1"/>
  <c r="I107" i="2" l="1"/>
  <c r="I111" i="2" s="1"/>
  <c r="I113" i="2" s="1"/>
  <c r="J35" i="2"/>
  <c r="J107" i="2" s="1"/>
  <c r="J111" i="2" s="1"/>
  <c r="J113" i="2" s="1"/>
  <c r="I15" i="3"/>
  <c r="I12" i="3"/>
  <c r="J9" i="3" s="1"/>
  <c r="E116" i="2"/>
  <c r="F114" i="2"/>
  <c r="F115" i="2" s="1"/>
  <c r="J85" i="2"/>
  <c r="J88" i="2" s="1"/>
  <c r="J89" i="2" s="1"/>
  <c r="I88" i="2"/>
  <c r="I89" i="2" s="1"/>
  <c r="D55" i="2"/>
  <c r="D58" i="2"/>
  <c r="E55" i="2"/>
  <c r="E58" i="2"/>
  <c r="F55" i="2"/>
  <c r="F58" i="2"/>
  <c r="G51" i="2"/>
  <c r="G57" i="2"/>
  <c r="H51" i="2"/>
  <c r="H57" i="2"/>
  <c r="I51" i="2"/>
  <c r="I57" i="2"/>
  <c r="J51" i="2"/>
  <c r="J57" i="2"/>
  <c r="C55" i="2"/>
  <c r="C58" i="2"/>
  <c r="J15" i="3" l="1"/>
  <c r="J12" i="3"/>
  <c r="F116" i="2"/>
  <c r="G114" i="2"/>
  <c r="G115" i="2" s="1"/>
  <c r="G52" i="2"/>
  <c r="G53" i="2"/>
  <c r="H52" i="2"/>
  <c r="H53" i="2"/>
  <c r="I52" i="2"/>
  <c r="I53" i="2" s="1"/>
  <c r="J52" i="2"/>
  <c r="J53" i="2"/>
  <c r="G63" i="2" l="1"/>
  <c r="G67" i="2" s="1"/>
  <c r="H114" i="2"/>
  <c r="H115" i="2" s="1"/>
  <c r="G55" i="2"/>
  <c r="G58" i="2"/>
  <c r="H55" i="2"/>
  <c r="H58" i="2"/>
  <c r="I55" i="2"/>
  <c r="I58" i="2"/>
  <c r="J55" i="2"/>
  <c r="J58" i="2"/>
  <c r="H63" i="2" l="1"/>
  <c r="H67" i="2" s="1"/>
  <c r="I114" i="2"/>
  <c r="I115" i="2" s="1"/>
  <c r="G68" i="2"/>
  <c r="G72" i="2" s="1"/>
  <c r="G90" i="2" s="1"/>
  <c r="G116" i="2"/>
  <c r="I63" i="2" l="1"/>
  <c r="I67" i="2" s="1"/>
  <c r="J114" i="2"/>
  <c r="J115" i="2" s="1"/>
  <c r="H68" i="2"/>
  <c r="H72" i="2" s="1"/>
  <c r="H90" i="2" s="1"/>
  <c r="H116" i="2"/>
  <c r="J63" i="2" l="1"/>
  <c r="J67" i="2" s="1"/>
  <c r="I68" i="2"/>
  <c r="I72" i="2" s="1"/>
  <c r="I90" i="2" s="1"/>
  <c r="I116" i="2"/>
  <c r="J68" i="2" l="1"/>
  <c r="J72" i="2" s="1"/>
  <c r="J90" i="2" s="1"/>
  <c r="J1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Matan Feldman</author>
  </authors>
  <commentList>
    <comment ref="C7" authorId="0" shapeId="0" xr:uid="{BBA258C6-87DB-4992-9282-6C995BCF9BDA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Apple 10-K | FY2022 | Products Revenue: iPhone $205.5B</t>
        </r>
      </text>
    </comment>
    <comment ref="F7" authorId="0" shapeId="0" xr:uid="{5A1420E4-69A0-4842-A899-A595FA5DC9B6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Apple 10-K | FY2025 | iPhone revenue $209.6B, +4.2% YoY</t>
        </r>
      </text>
    </comment>
    <comment ref="C8" authorId="0" shapeId="0" xr:uid="{40402E1C-C819-49F8-8641-399BC2435C73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Apple 10-K | FY2022 | Products Revenue: Mac $40.2B</t>
        </r>
      </text>
    </comment>
    <comment ref="C9" authorId="0" shapeId="0" xr:uid="{90026CD0-E930-47CF-9D14-24F8138435DA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Apple 10-K | FY2022 | Products Revenue: iPad $29.3B</t>
        </r>
      </text>
    </comment>
    <comment ref="C10" authorId="0" shapeId="0" xr:uid="{F351CAC4-F438-4539-B03F-31CC0D057956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Apple 10-K | FY2022 | Products Revenue: Wearables $41.2B</t>
        </r>
      </text>
    </comment>
    <comment ref="C11" authorId="0" shapeId="0" xr:uid="{58954E7F-D03A-49B9-83F7-9DA0D9B44BE2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Apple 10-K | FY2022 | Services Revenue: $78.1B</t>
        </r>
      </text>
    </comment>
    <comment ref="F11" authorId="0" shapeId="0" xr:uid="{4545E219-BAA1-4810-A596-365BD378D2CA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Apple 10-K | FY2025 | Services revenue $109.2B, +13.5% YoY</t>
        </r>
      </text>
    </comment>
    <comment ref="G15" authorId="0" shapeId="0" xr:uid="{3DFFC5FE-9371-47BF-A113-086FAB3467CE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Analyst consensus | FY2026E | iPhone growth ~5% based on AI-driven upgrade cycle</t>
        </r>
      </text>
    </comment>
    <comment ref="G19" authorId="0" shapeId="0" xr:uid="{AA79EE76-6C2F-4433-9FD7-C47B69CCD2CB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Analyst consensus | FY2026E | Services growth ~12%, driven by App Store, advertising, cloud</t>
        </r>
      </text>
    </comment>
    <comment ref="G23" authorId="0" shapeId="0" xr:uid="{2AA1BC7A-0C07-413D-9070-15991FB88223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Model assumption | Gross margin expansion from Services mix shift (higher-margin segment)</t>
        </r>
      </text>
    </comment>
    <comment ref="F26" authorId="0" shapeId="0" xr:uid="{736AFE5F-6789-4AFB-9727-B444F5C7CA63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Apple 10-K FY2025 | Effective tax rate (provision/EBT)</t>
        </r>
      </text>
    </comment>
    <comment ref="G26" authorId="0" shapeId="0" xr:uid="{4110806B-6D00-4DDC-8E2B-4CBB10D2FF2C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Model assumption | Normalized tax rate at 15.5% (excludes FY24 one-time EU ruling)</t>
        </r>
      </text>
    </comment>
    <comment ref="F35" authorId="0" shapeId="0" xr:uid="{FC5DC323-45D2-413E-9B8C-6FA5490559E7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Apple 10-K FY2025 | Diluted weighted-average shares outstanding</t>
        </r>
      </text>
    </comment>
    <comment ref="F36" authorId="0" shapeId="0" xr:uid="{9531B408-4A6E-4630-9AC8-E7F3A7C3C6CF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Apple 10-K FY2025 | Dividends declared per share ($0.25 x3 + $0.26 x1)</t>
        </r>
      </text>
    </comment>
    <comment ref="F37" authorId="0" shapeId="0" xr:uid="{590C37E1-87C7-4EF6-9EB9-3F4C88656328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Apple 10-K FY2025 | Treasury stock activity | Share repurchases</t>
        </r>
      </text>
    </comment>
    <comment ref="G37" authorId="0" shapeId="0" xr:uid="{4C0B02AE-7295-481C-915A-BE8BEBD64F95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Model assumption | $95B annual buybacks based on $110B authorization (May 2024)</t>
        </r>
      </text>
    </comment>
    <comment ref="C42" authorId="0" shapeId="0" xr:uid="{97A18F6E-5A66-4AEC-8B89-EB3E6DF8BA99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Apple 10-K | FY2022 | Cost of Sales</t>
        </r>
      </text>
    </comment>
    <comment ref="C45" authorId="0" shapeId="0" xr:uid="{1C42FC7E-22DF-413F-99B9-9A6D73C7258A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Apple 10-K | FY2022 | R&amp;D expense $26.3B</t>
        </r>
      </text>
    </comment>
    <comment ref="C46" authorId="0" shapeId="0" xr:uid="{585E1868-7C32-4746-9378-A687D18CCEB9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Apple 10-K | FY2022 | SG&amp;A expense $25.1B</t>
        </r>
      </text>
    </comment>
    <comment ref="F50" authorId="0" shapeId="0" xr:uid="{4AAB8464-8005-4446-9B9E-E2AB847F1958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Apple 10-K FY2025 | Consolidated Statements of Operations | Other income/(expense), net</t>
        </r>
      </text>
    </comment>
    <comment ref="E52" authorId="0" shapeId="0" xr:uid="{BA612AB2-214F-4537-BF77-0C492F734623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Apple 10-K | FY2024 | Income tax includes ~$10B EU tax ruling (one-time)</t>
        </r>
      </text>
    </comment>
    <comment ref="F52" authorId="0" shapeId="0" xr:uid="{97DE9A6C-F872-4F44-8A6A-0F4326DF6B3A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Apple 10-K FY2025 | Consolidated Statements of Operations | Provision for income taxes</t>
        </r>
      </text>
    </comment>
    <comment ref="C63" authorId="0" shapeId="0" xr:uid="{C7D9BEE1-949A-42F3-8277-96B25CFFEEA9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Apple 10-K | FY2022 | Cash and cash equivalents</t>
        </r>
      </text>
    </comment>
    <comment ref="C70" authorId="0" shapeId="0" xr:uid="{EF7BABD9-D326-48D8-AFC0-4B21D93F1C19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Apple 10-K | FY2022 | PP&amp;E, net</t>
        </r>
      </text>
    </comment>
    <comment ref="C80" authorId="0" shapeId="0" xr:uid="{3A3459A6-F231-4106-8554-9A9A345DA83E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Apple 10-K | FY2022 | Term debt, non-current</t>
        </r>
      </text>
    </comment>
  </commentList>
</comments>
</file>

<file path=xl/sharedStrings.xml><?xml version="1.0" encoding="utf-8"?>
<sst xmlns="http://schemas.openxmlformats.org/spreadsheetml/2006/main" count="229" uniqueCount="186">
  <si>
    <t>FY2022</t>
  </si>
  <si>
    <t>FY2023</t>
  </si>
  <si>
    <t>FY2024</t>
  </si>
  <si>
    <t>FY2025</t>
  </si>
  <si>
    <t>FY2026E</t>
  </si>
  <si>
    <t>FY2027E</t>
  </si>
  <si>
    <t>FY2028E</t>
  </si>
  <si>
    <t>FY2029E</t>
  </si>
  <si>
    <t>Historical</t>
  </si>
  <si>
    <t>Forecast</t>
  </si>
  <si>
    <t>ASSUMPTIONS</t>
  </si>
  <si>
    <t>Revenue by Segment ($M)</t>
  </si>
  <si>
    <t>iPhone</t>
  </si>
  <si>
    <t>Mac</t>
  </si>
  <si>
    <t>iPad</t>
  </si>
  <si>
    <t>Wearables, Home &amp; Acc.</t>
  </si>
  <si>
    <t>Services</t>
  </si>
  <si>
    <t>Total Revenue</t>
  </si>
  <si>
    <t>YoY Growth Rates</t>
  </si>
  <si>
    <t>Total Revenue Growth</t>
  </si>
  <si>
    <t>Margin &amp; Operating Assumptions</t>
  </si>
  <si>
    <t>Gross Margin %</t>
  </si>
  <si>
    <t>R&amp;D as % of Revenue</t>
  </si>
  <si>
    <t>SG&amp;A as % of Revenue</t>
  </si>
  <si>
    <t>Effective Tax Rate</t>
  </si>
  <si>
    <t>D&amp;A ($M)</t>
  </si>
  <si>
    <t>Stock-Based Comp ($M)</t>
  </si>
  <si>
    <t>CapEx ($M)</t>
  </si>
  <si>
    <t>Working Capital &amp; Shares</t>
  </si>
  <si>
    <t>Days Sales Outstanding (DSO)</t>
  </si>
  <si>
    <t>Days Inventory Outstanding (DIO)</t>
  </si>
  <si>
    <t>Days Payable Outstanding (DPO)</t>
  </si>
  <si>
    <t>Diluted Shares Outstanding (M)</t>
  </si>
  <si>
    <t>Dividends per Share ($)</t>
  </si>
  <si>
    <t>Share Buybacks ($M)</t>
  </si>
  <si>
    <t>INCOME STATEMENT ($M)</t>
  </si>
  <si>
    <t>Revenue</t>
  </si>
  <si>
    <t>Cost of Goods Sold</t>
  </si>
  <si>
    <t>Gross Profit</t>
  </si>
  <si>
    <t>Research &amp; Development</t>
  </si>
  <si>
    <t>Selling, General &amp; Administrative</t>
  </si>
  <si>
    <t>Total Operating Expenses</t>
  </si>
  <si>
    <t>Operating Income (EBIT)</t>
  </si>
  <si>
    <t>Other Income / (Expense)</t>
  </si>
  <si>
    <t>Earnings Before Tax (EBT)</t>
  </si>
  <si>
    <t>Income Tax Expense</t>
  </si>
  <si>
    <t>Net Income</t>
  </si>
  <si>
    <t>Diluted EPS</t>
  </si>
  <si>
    <t>Gross Margin</t>
  </si>
  <si>
    <t>Operating Margin</t>
  </si>
  <si>
    <t>Net Margin</t>
  </si>
  <si>
    <t>BALANCE SHEET ($M)</t>
  </si>
  <si>
    <t>Assets</t>
  </si>
  <si>
    <t>Cash &amp; Cash Equivalents</t>
  </si>
  <si>
    <t>Short-Term Investments</t>
  </si>
  <si>
    <t>Accounts Receivable</t>
  </si>
  <si>
    <t>Inventory</t>
  </si>
  <si>
    <t>Other Current Assets</t>
  </si>
  <si>
    <t>Total Current Assets</t>
  </si>
  <si>
    <t>Property, Plant &amp; Equipment, net</t>
  </si>
  <si>
    <t>Other Long-Term Assets</t>
  </si>
  <si>
    <t>Total Assets</t>
  </si>
  <si>
    <t>Liabilities</t>
  </si>
  <si>
    <t>Accounts Payable</t>
  </si>
  <si>
    <t>Short-Term Debt / Current Portion</t>
  </si>
  <si>
    <t>Other Current Liabilities</t>
  </si>
  <si>
    <t>Total Current Liabilities</t>
  </si>
  <si>
    <t>Long-Term Debt</t>
  </si>
  <si>
    <t>Other Long-Term Liabilities</t>
  </si>
  <si>
    <t>Total Liabilities</t>
  </si>
  <si>
    <t>Shareholders' Equity</t>
  </si>
  <si>
    <t>Common Stock &amp; APIC</t>
  </si>
  <si>
    <t>Retained Earnings</t>
  </si>
  <si>
    <t>Accumulated Other Comprehensive Income</t>
  </si>
  <si>
    <t>Total Shareholders' Equity</t>
  </si>
  <si>
    <t>Total Liabilities + Equity</t>
  </si>
  <si>
    <t>Balance Check (TA - TL&amp;E)</t>
  </si>
  <si>
    <t>CASH FLOW STATEMENT ($M)</t>
  </si>
  <si>
    <t>Depreciation &amp; Amortization</t>
  </si>
  <si>
    <t>Stock-Based Compensation</t>
  </si>
  <si>
    <t>Change in Accounts Receivable</t>
  </si>
  <si>
    <t>Change in Inventory</t>
  </si>
  <si>
    <t>Change in Accounts Payable</t>
  </si>
  <si>
    <t>Other Operating Activities</t>
  </si>
  <si>
    <t>Cash from Operations (CFO)</t>
  </si>
  <si>
    <t>Capital Expenditures</t>
  </si>
  <si>
    <t>Change in Investments</t>
  </si>
  <si>
    <t>Cash from Investing (CFI)</t>
  </si>
  <si>
    <t>Dividends Paid</t>
  </si>
  <si>
    <t>Share Repurchases</t>
  </si>
  <si>
    <t>Debt Issued</t>
  </si>
  <si>
    <t>Debt Repaid</t>
  </si>
  <si>
    <t>Cash from Financing (CFF)</t>
  </si>
  <si>
    <t>Net Change in Cash</t>
  </si>
  <si>
    <t>Beginning Cash</t>
  </si>
  <si>
    <t>Ending Cash</t>
  </si>
  <si>
    <t>Check (Ending Cash = BS Cash)</t>
  </si>
  <si>
    <t>DEBT SCHEDULE ($M)</t>
  </si>
  <si>
    <t>Short-Term Debt / CP of LT Debt</t>
  </si>
  <si>
    <t>Total Debt</t>
  </si>
  <si>
    <t>Beginning Total Debt</t>
  </si>
  <si>
    <t>Ending Total Debt</t>
  </si>
  <si>
    <t>Avg Interest Rate Assumption</t>
  </si>
  <si>
    <t>Interest Expense (est.)</t>
  </si>
  <si>
    <t>PP&amp;E ROLLFORWARD ($M)</t>
  </si>
  <si>
    <t>Beginning PP&amp;E, net</t>
  </si>
  <si>
    <t>Ending PP&amp;E, net</t>
  </si>
  <si>
    <t>CapEx as % of Revenue</t>
  </si>
  <si>
    <t>D&amp;A as % of Revenue</t>
  </si>
  <si>
    <t>WORKING CAPITAL SCHEDULE ($M)</t>
  </si>
  <si>
    <t>Net Working Capital (AR+Inv-AP)</t>
  </si>
  <si>
    <t>DSO (Days)</t>
  </si>
  <si>
    <t>DIO (Days)</t>
  </si>
  <si>
    <t>DPO (Days)</t>
  </si>
  <si>
    <t>Cash Conversion Cycle (Days)</t>
  </si>
  <si>
    <t>DATA SOURCES &amp; CITATIONS</t>
  </si>
  <si>
    <t>Data Item</t>
  </si>
  <si>
    <t>Period</t>
  </si>
  <si>
    <t>Source</t>
  </si>
  <si>
    <t>Link / Reference</t>
  </si>
  <si>
    <t>Revenue by Segment</t>
  </si>
  <si>
    <t>FY2022-FY2025</t>
  </si>
  <si>
    <t>Apple Inc. 10-K Annual Reports (SEC EDGAR)</t>
  </si>
  <si>
    <t>https://www.sec.gov/cgi-bin/browse-edgar?action=getcompany&amp;CIK=0000320193&amp;type=10-K</t>
  </si>
  <si>
    <t>Income Statement</t>
  </si>
  <si>
    <t>Apple Inc. 10-K Annual Reports</t>
  </si>
  <si>
    <t>Consolidated Statements of Operations</t>
  </si>
  <si>
    <t>Balance Sheet</t>
  </si>
  <si>
    <t>Consolidated Balance Sheets</t>
  </si>
  <si>
    <t>Cash Flow Statement</t>
  </si>
  <si>
    <t>Consolidated Statements of Cash Flows</t>
  </si>
  <si>
    <t>D&amp;A, SBC, CapEx</t>
  </si>
  <si>
    <t>Notes to Financial Statements</t>
  </si>
  <si>
    <t>Share Count &amp; EPS</t>
  </si>
  <si>
    <t>Apple Inc. 10-K / Earnings Releases</t>
  </si>
  <si>
    <t>Diluted weighted-average shares outstanding</t>
  </si>
  <si>
    <t>Dividend History</t>
  </si>
  <si>
    <t>Apple Inc. Investor Relations</t>
  </si>
  <si>
    <t>https://investor.apple.com/dividend-history/</t>
  </si>
  <si>
    <t>Treasury stock activity</t>
  </si>
  <si>
    <t>Revenue Estimates</t>
  </si>
  <si>
    <t>FY2026E-FY2029E</t>
  </si>
  <si>
    <t>Wall Street Analyst Consensus (47 analysts)</t>
  </si>
  <si>
    <t>Consensus as of Feb 2026</t>
  </si>
  <si>
    <t>EPS Estimates</t>
  </si>
  <si>
    <t>Wall Street Analyst Consensus</t>
  </si>
  <si>
    <t>Mean estimate from 49 analysts</t>
  </si>
  <si>
    <t>Growth Rate Assumptions</t>
  </si>
  <si>
    <t>Management guidance + analyst consensus</t>
  </si>
  <si>
    <t>Segment growth rates based on historical trends</t>
  </si>
  <si>
    <t>Margin Assumptions</t>
  </si>
  <si>
    <t>Analyst consensus + historical trends</t>
  </si>
  <si>
    <t>Gross margin expansion thesis from Services mix shift</t>
  </si>
  <si>
    <t>Tax Rate</t>
  </si>
  <si>
    <t>Normalized at 15.5%</t>
  </si>
  <si>
    <t>FY2024 included one-time EU tax ruling (~$10B)</t>
  </si>
  <si>
    <t>CapEx / D&amp;A</t>
  </si>
  <si>
    <t>Management guidance extrapolation</t>
  </si>
  <si>
    <t>Capex increasing with AI infrastructure investment</t>
  </si>
  <si>
    <t>Debt Reduction</t>
  </si>
  <si>
    <t>Model assumption</t>
  </si>
  <si>
    <t>~$5B annual net debt reduction based on maturity schedule</t>
  </si>
  <si>
    <t>Share Buybacks</t>
  </si>
  <si>
    <t>$95B annual based on current $110B authorization</t>
  </si>
  <si>
    <t>Working Capital Days</t>
  </si>
  <si>
    <t>Historical trend extrapolation</t>
  </si>
  <si>
    <t>DSO, DIO, DPO based on 3-year averages</t>
  </si>
  <si>
    <t>NOTES</t>
  </si>
  <si>
    <t>All dollar amounts in millions ($M) unless otherwise noted</t>
  </si>
  <si>
    <t>Apple fiscal year ends last Saturday of September (e.g., FY2025 ended Sept 27, 2025)</t>
  </si>
  <si>
    <t>FY2024 effective tax rate of 24.1% includes ~$10B EU tax ruling; normalized to 15.5% for forecasts</t>
  </si>
  <si>
    <t>Services segment assumed to be primary growth driver due to higher margins and recurring revenue</t>
  </si>
  <si>
    <t>Share count assumes ~3.5% annual reduction via buyback program</t>
  </si>
  <si>
    <t>Model does not include potential M&amp;A activity or new product categories</t>
  </si>
  <si>
    <t>Balance sheet 'Other Current Assets' used as plug to ensure assets = liabilities + equity</t>
  </si>
  <si>
    <t>driven of segment build, which is btter than all the others</t>
  </si>
  <si>
    <t>not driven off interest expense</t>
  </si>
  <si>
    <t>smoothing a historical decline, unconnected to repurchases or issuance forecasts</t>
  </si>
  <si>
    <t>Score is 6</t>
  </si>
  <si>
    <t>no plugs</t>
  </si>
  <si>
    <t>good driver of cogs</t>
  </si>
  <si>
    <t>no revolver formula</t>
  </si>
  <si>
    <t>amortization not flowing anywhere expxlicitly</t>
  </si>
  <si>
    <t>doesn’t connect or flow through the balance sheet</t>
  </si>
  <si>
    <t>score 5</t>
  </si>
  <si>
    <t>no purpose to the schedules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</si>
</sst>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"/>
  </numFmts>
  <fonts count="16" x14ac:knownFonts="1">
    <font>
      <sz val="10"/>
      <color theme="1"/>
      <name val="Arial"/>
      <family val="2"/>
    </font>
    <font>
      <b/>
      <sz val="11"/>
      <color theme="1"/>
      <name val="Aptos Narrow"/>
    </font>
    <font>
      <b/>
      <i/>
      <sz val="11"/>
      <color theme="1"/>
      <name val="Aptos Narrow"/>
    </font>
    <font>
      <b/>
      <sz val="12"/>
      <color theme="1"/>
      <name val="Aptos Narrow"/>
    </font>
    <font>
      <b/>
      <i/>
      <sz val="11"/>
      <color rgb="FF333333"/>
      <name val="Aptos Narrow"/>
    </font>
    <font>
      <b/>
      <i/>
      <sz val="11"/>
      <color rgb="FF0000FF"/>
      <name val="Aptos Narrow"/>
    </font>
    <font>
      <sz val="11"/>
      <color theme="1"/>
      <name val="Aptos Narrow"/>
    </font>
    <font>
      <b/>
      <sz val="14"/>
      <color theme="1"/>
      <name val="Aptos Narrow"/>
    </font>
    <font>
      <i/>
      <sz val="11"/>
      <color theme="1"/>
      <name val="Aptos Narrow"/>
    </font>
    <font>
      <sz val="11"/>
      <color rgb="FF0000FF"/>
      <name val="Aptos Narrow"/>
    </font>
    <font>
      <sz val="11"/>
      <color rgb="FF000000"/>
      <name val="Aptos Narrow"/>
    </font>
    <font>
      <b/>
      <sz val="11"/>
      <color rgb="FF000000"/>
      <name val="Aptos Narrow"/>
    </font>
    <font>
      <sz val="11"/>
      <color rgb="FF008000"/>
      <name val="Aptos Narrow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00FF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ashed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2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2" borderId="2" xfId="0" applyFont="1" applyFill="1" applyBorder="1"/>
    <xf numFmtId="3" fontId="6" fillId="0" borderId="0" xfId="0" applyNumberFormat="1" applyFont="1"/>
    <xf numFmtId="164" fontId="6" fillId="0" borderId="0" xfId="0" applyNumberFormat="1" applyFont="1"/>
    <xf numFmtId="0" fontId="1" fillId="0" borderId="3" xfId="0" applyFont="1" applyBorder="1"/>
    <xf numFmtId="164" fontId="1" fillId="0" borderId="3" xfId="0" applyNumberFormat="1" applyFont="1" applyBorder="1"/>
    <xf numFmtId="0" fontId="3" fillId="2" borderId="1" xfId="0" applyFont="1" applyFill="1" applyBorder="1"/>
    <xf numFmtId="0" fontId="1" fillId="0" borderId="4" xfId="0" applyFont="1" applyBorder="1"/>
    <xf numFmtId="0" fontId="7" fillId="2" borderId="1" xfId="0" applyFont="1" applyFill="1" applyBorder="1"/>
    <xf numFmtId="0" fontId="1" fillId="0" borderId="2" xfId="0" applyFont="1" applyBorder="1"/>
    <xf numFmtId="0" fontId="6" fillId="0" borderId="5" xfId="0" applyFont="1" applyBorder="1"/>
    <xf numFmtId="0" fontId="8" fillId="0" borderId="0" xfId="0" applyFont="1"/>
    <xf numFmtId="3" fontId="9" fillId="0" borderId="0" xfId="0" applyNumberFormat="1" applyFont="1"/>
    <xf numFmtId="3" fontId="10" fillId="0" borderId="0" xfId="0" applyNumberFormat="1" applyFont="1"/>
    <xf numFmtId="3" fontId="11" fillId="0" borderId="3" xfId="0" applyNumberFormat="1" applyFont="1" applyBorder="1"/>
    <xf numFmtId="164" fontId="10" fillId="0" borderId="0" xfId="0" applyNumberFormat="1" applyFont="1"/>
    <xf numFmtId="164" fontId="9" fillId="0" borderId="0" xfId="0" applyNumberFormat="1" applyFont="1"/>
    <xf numFmtId="164" fontId="11" fillId="0" borderId="3" xfId="0" applyNumberFormat="1" applyFont="1" applyBorder="1"/>
    <xf numFmtId="165" fontId="9" fillId="0" borderId="0" xfId="0" applyNumberFormat="1" applyFont="1"/>
    <xf numFmtId="3" fontId="11" fillId="0" borderId="0" xfId="0" applyNumberFormat="1" applyFont="1"/>
    <xf numFmtId="3" fontId="11" fillId="0" borderId="4" xfId="0" applyNumberFormat="1" applyFont="1" applyBorder="1"/>
    <xf numFmtId="165" fontId="10" fillId="0" borderId="0" xfId="0" applyNumberFormat="1" applyFont="1"/>
    <xf numFmtId="3" fontId="12" fillId="0" borderId="0" xfId="0" applyNumberFormat="1" applyFont="1"/>
    <xf numFmtId="164" fontId="12" fillId="0" borderId="0" xfId="0" applyNumberFormat="1" applyFont="1"/>
    <xf numFmtId="3" fontId="9" fillId="3" borderId="0" xfId="0" applyNumberFormat="1" applyFont="1" applyFill="1"/>
    <xf numFmtId="3" fontId="11" fillId="3" borderId="3" xfId="0" applyNumberFormat="1" applyFont="1" applyFill="1" applyBorder="1"/>
    <xf numFmtId="0" fontId="6" fillId="3" borderId="0" xfId="0" applyFont="1" applyFill="1"/>
    <xf numFmtId="3" fontId="11" fillId="3" borderId="4" xfId="0" applyNumberFormat="1" applyFont="1" applyFill="1" applyBorder="1"/>
    <xf numFmtId="3" fontId="11" fillId="3" borderId="0" xfId="0" applyNumberFormat="1" applyFont="1" applyFill="1"/>
    <xf numFmtId="3" fontId="1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74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9DC9EF6-A4AA-467F-A57E-2E5DBA41023F}">
  <we:reference id="wa200009152" version="1.0.0.4" store="en-US" storeType="OMEX"/>
  <we:alternateReferences>
    <we:reference id="wa200009152" version="1.0.0.4" store="wa200009152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6532-B9E3-4786-9F26-1C3FFA172DC2}">
  <dimension ref="A1:L165"/>
  <sheetViews>
    <sheetView showGridLines="0" tabSelected="1" workbookViewId="0">
      <pane xSplit="1" ySplit="2" topLeftCell="B83" activePane="bottomRight" state="frozen"/>
      <selection pane="topRight" activeCell="B1" sqref="B1"/>
      <selection pane="bottomLeft" activeCell="A3" sqref="A3"/>
      <selection pane="bottomRight" activeCell="K24" sqref="K24"/>
    </sheetView>
  </sheetViews>
  <sheetFormatPr defaultRowHeight="12.75" x14ac:dyDescent="0.2"/>
  <cols>
    <col min="1" max="1" width="39.85546875" bestFit="1" customWidth="1"/>
    <col min="2" max="2" width="0.5703125" customWidth="1"/>
    <col min="3" max="3" width="10.5703125" bestFit="1" customWidth="1"/>
    <col min="4" max="6" width="8.28515625" bestFit="1" customWidth="1"/>
    <col min="7" max="7" width="9.5703125" bestFit="1" customWidth="1"/>
    <col min="8" max="10" width="8.28515625" bestFit="1" customWidth="1"/>
  </cols>
  <sheetData>
    <row r="1" spans="1:10" ht="15" x14ac:dyDescent="0.25">
      <c r="A1" s="1"/>
      <c r="B1" s="1"/>
      <c r="C1" s="5" t="s">
        <v>8</v>
      </c>
      <c r="D1" s="5"/>
      <c r="E1" s="5"/>
      <c r="F1" s="5"/>
      <c r="G1" s="6" t="s">
        <v>9</v>
      </c>
      <c r="H1" s="6"/>
      <c r="I1" s="6"/>
      <c r="J1" s="6"/>
    </row>
    <row r="2" spans="1:10" ht="15.75" thickBot="1" x14ac:dyDescent="0.3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</row>
    <row r="3" spans="1:10" ht="15" x14ac:dyDescent="0.25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ht="15" x14ac:dyDescent="0.25">
      <c r="A4" s="8" t="s">
        <v>10</v>
      </c>
      <c r="B4" s="8"/>
      <c r="C4" s="8"/>
      <c r="D4" s="8"/>
      <c r="E4" s="8"/>
      <c r="F4" s="8"/>
      <c r="G4" s="8"/>
      <c r="H4" s="8"/>
      <c r="I4" s="8"/>
      <c r="J4" s="8"/>
    </row>
    <row r="5" spans="1:10" ht="15" x14ac:dyDescent="0.25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ht="15" x14ac:dyDescent="0.25">
      <c r="A6" s="3" t="s">
        <v>11</v>
      </c>
      <c r="B6" s="7"/>
      <c r="C6" s="7"/>
      <c r="D6" s="7"/>
      <c r="E6" s="7"/>
      <c r="F6" s="7"/>
      <c r="G6" s="7"/>
      <c r="H6" s="7"/>
      <c r="I6" s="7"/>
      <c r="J6" s="7"/>
    </row>
    <row r="7" spans="1:10" ht="15" x14ac:dyDescent="0.25">
      <c r="A7" s="7" t="s">
        <v>12</v>
      </c>
      <c r="B7" s="7"/>
      <c r="C7" s="19">
        <v>205489</v>
      </c>
      <c r="D7" s="19">
        <v>200583</v>
      </c>
      <c r="E7" s="19">
        <v>201183</v>
      </c>
      <c r="F7" s="31">
        <v>209586</v>
      </c>
      <c r="G7" s="20">
        <f>F7*(1+G15)</f>
        <v>220065.30000000002</v>
      </c>
      <c r="H7" s="20">
        <f t="shared" ref="H7:J7" si="0">G7*(1+H15)</f>
        <v>229968.23850000001</v>
      </c>
      <c r="I7" s="20">
        <f t="shared" si="0"/>
        <v>239166.96804000001</v>
      </c>
      <c r="J7" s="20">
        <f t="shared" si="0"/>
        <v>248733.64676160002</v>
      </c>
    </row>
    <row r="8" spans="1:10" ht="15" x14ac:dyDescent="0.25">
      <c r="A8" s="7" t="s">
        <v>13</v>
      </c>
      <c r="B8" s="7"/>
      <c r="C8" s="19">
        <v>40177</v>
      </c>
      <c r="D8" s="19">
        <v>29357</v>
      </c>
      <c r="E8" s="19">
        <v>29984</v>
      </c>
      <c r="F8" s="31">
        <v>33706</v>
      </c>
      <c r="G8" s="20">
        <f>F8*(1+G16)</f>
        <v>36402.480000000003</v>
      </c>
      <c r="H8" s="20">
        <f t="shared" ref="H8:J8" si="1">G8*(1+H16)</f>
        <v>38950.653600000005</v>
      </c>
      <c r="I8" s="20">
        <f t="shared" si="1"/>
        <v>41287.69281600001</v>
      </c>
      <c r="J8" s="20">
        <f t="shared" si="1"/>
        <v>43352.077456800012</v>
      </c>
    </row>
    <row r="9" spans="1:10" ht="15" x14ac:dyDescent="0.25">
      <c r="A9" s="7" t="s">
        <v>14</v>
      </c>
      <c r="B9" s="7"/>
      <c r="C9" s="19">
        <v>29292</v>
      </c>
      <c r="D9" s="19">
        <v>28300</v>
      </c>
      <c r="E9" s="19">
        <v>26694</v>
      </c>
      <c r="F9" s="31">
        <v>28016</v>
      </c>
      <c r="G9" s="20">
        <f>F9*(1+G17)</f>
        <v>29416.800000000003</v>
      </c>
      <c r="H9" s="20">
        <f t="shared" ref="H9:J9" si="2">G9*(1+H17)</f>
        <v>30593.472000000005</v>
      </c>
      <c r="I9" s="20">
        <f t="shared" si="2"/>
        <v>31817.210880000006</v>
      </c>
      <c r="J9" s="20">
        <f t="shared" si="2"/>
        <v>32771.727206400006</v>
      </c>
    </row>
    <row r="10" spans="1:10" ht="15" x14ac:dyDescent="0.25">
      <c r="A10" s="7" t="s">
        <v>15</v>
      </c>
      <c r="B10" s="7"/>
      <c r="C10" s="19">
        <v>41241</v>
      </c>
      <c r="D10" s="19">
        <v>39845</v>
      </c>
      <c r="E10" s="19">
        <v>37005</v>
      </c>
      <c r="F10" s="31">
        <v>35690</v>
      </c>
      <c r="G10" s="20">
        <f>F10*(1+G18)</f>
        <v>36760.700000000004</v>
      </c>
      <c r="H10" s="20">
        <f t="shared" ref="H10:J10" si="3">G10*(1+H18)</f>
        <v>37863.521000000008</v>
      </c>
      <c r="I10" s="20">
        <f t="shared" si="3"/>
        <v>38999.426630000009</v>
      </c>
      <c r="J10" s="20">
        <f t="shared" si="3"/>
        <v>40169.409428900013</v>
      </c>
    </row>
    <row r="11" spans="1:10" ht="15" x14ac:dyDescent="0.25">
      <c r="A11" s="7" t="s">
        <v>16</v>
      </c>
      <c r="B11" s="7"/>
      <c r="C11" s="19">
        <v>78129</v>
      </c>
      <c r="D11" s="19">
        <v>85200</v>
      </c>
      <c r="E11" s="19">
        <v>96169</v>
      </c>
      <c r="F11" s="31">
        <v>109163</v>
      </c>
      <c r="G11" s="20">
        <f>F11*(1+G19)</f>
        <v>122262.56000000001</v>
      </c>
      <c r="H11" s="20">
        <f t="shared" ref="H11:J11" si="4">G11*(1+H19)</f>
        <v>135711.44160000002</v>
      </c>
      <c r="I11" s="20">
        <f t="shared" si="4"/>
        <v>149282.58576000005</v>
      </c>
      <c r="J11" s="20">
        <f t="shared" si="4"/>
        <v>162718.01847840007</v>
      </c>
    </row>
    <row r="12" spans="1:10" ht="15" x14ac:dyDescent="0.25">
      <c r="A12" s="11" t="s">
        <v>17</v>
      </c>
      <c r="B12" s="11"/>
      <c r="C12" s="21">
        <f>SUM(C7:C11)</f>
        <v>394328</v>
      </c>
      <c r="D12" s="21">
        <f t="shared" ref="D12:J12" si="5">SUM(D7:D11)</f>
        <v>383285</v>
      </c>
      <c r="E12" s="21">
        <f t="shared" si="5"/>
        <v>391035</v>
      </c>
      <c r="F12" s="21">
        <f t="shared" si="5"/>
        <v>416161</v>
      </c>
      <c r="G12" s="21">
        <f t="shared" si="5"/>
        <v>444907.84</v>
      </c>
      <c r="H12" s="21">
        <f t="shared" si="5"/>
        <v>473087.32670000003</v>
      </c>
      <c r="I12" s="21">
        <f t="shared" si="5"/>
        <v>500553.88412600011</v>
      </c>
      <c r="J12" s="21">
        <f t="shared" si="5"/>
        <v>527744.87933210004</v>
      </c>
    </row>
    <row r="13" spans="1:10" ht="1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10" ht="15" x14ac:dyDescent="0.25">
      <c r="A14" s="3" t="s">
        <v>18</v>
      </c>
      <c r="B14" s="7"/>
      <c r="C14" s="7"/>
      <c r="D14" s="7"/>
      <c r="E14" s="7"/>
      <c r="F14" s="7"/>
      <c r="G14" s="7"/>
      <c r="H14" s="7"/>
      <c r="I14" s="7"/>
      <c r="J14" s="7"/>
    </row>
    <row r="15" spans="1:10" ht="15" x14ac:dyDescent="0.25">
      <c r="A15" s="7" t="s">
        <v>12</v>
      </c>
      <c r="B15" s="7"/>
      <c r="C15" s="10"/>
      <c r="D15" s="22">
        <f>D7/C7-1</f>
        <v>-2.3874757286278081E-2</v>
      </c>
      <c r="E15" s="22">
        <f t="shared" ref="E15:F15" si="6">E7/D7-1</f>
        <v>2.9912804175826757E-3</v>
      </c>
      <c r="F15" s="22">
        <f t="shared" si="6"/>
        <v>4.1767942619406195E-2</v>
      </c>
      <c r="G15" s="23">
        <v>0.05</v>
      </c>
      <c r="H15" s="23">
        <v>4.4999999999999998E-2</v>
      </c>
      <c r="I15" s="23">
        <v>0.04</v>
      </c>
      <c r="J15" s="23">
        <v>0.04</v>
      </c>
    </row>
    <row r="16" spans="1:10" ht="15" x14ac:dyDescent="0.25">
      <c r="A16" s="7" t="s">
        <v>13</v>
      </c>
      <c r="B16" s="7"/>
      <c r="C16" s="10"/>
      <c r="D16" s="22">
        <f>D8/C8-1</f>
        <v>-0.26930831072504169</v>
      </c>
      <c r="E16" s="22">
        <f t="shared" ref="E16:F16" si="7">E8/D8-1</f>
        <v>2.1357768164322E-2</v>
      </c>
      <c r="F16" s="22">
        <f t="shared" si="7"/>
        <v>0.12413287086446112</v>
      </c>
      <c r="G16" s="23">
        <v>0.08</v>
      </c>
      <c r="H16" s="23">
        <v>7.0000000000000007E-2</v>
      </c>
      <c r="I16" s="23">
        <v>0.06</v>
      </c>
      <c r="J16" s="23">
        <v>0.05</v>
      </c>
    </row>
    <row r="17" spans="1:10" ht="15" x14ac:dyDescent="0.25">
      <c r="A17" s="7" t="s">
        <v>14</v>
      </c>
      <c r="B17" s="7"/>
      <c r="C17" s="10"/>
      <c r="D17" s="22">
        <f>D9/C9-1</f>
        <v>-3.3865901952751631E-2</v>
      </c>
      <c r="E17" s="22">
        <f t="shared" ref="E17:F17" si="8">E9/D9-1</f>
        <v>-5.674911660777382E-2</v>
      </c>
      <c r="F17" s="22">
        <f t="shared" si="8"/>
        <v>4.9524237656402237E-2</v>
      </c>
      <c r="G17" s="23">
        <v>0.05</v>
      </c>
      <c r="H17" s="23">
        <v>0.04</v>
      </c>
      <c r="I17" s="23">
        <v>0.04</v>
      </c>
      <c r="J17" s="23">
        <v>0.03</v>
      </c>
    </row>
    <row r="18" spans="1:10" ht="15" x14ac:dyDescent="0.25">
      <c r="A18" s="7" t="s">
        <v>15</v>
      </c>
      <c r="B18" s="7"/>
      <c r="C18" s="10"/>
      <c r="D18" s="22">
        <f>D10/C10-1</f>
        <v>-3.3849809655439933E-2</v>
      </c>
      <c r="E18" s="22">
        <f t="shared" ref="E18:F18" si="9">E10/D10-1</f>
        <v>-7.1276195256619435E-2</v>
      </c>
      <c r="F18" s="22">
        <f t="shared" si="9"/>
        <v>-3.5535738413727924E-2</v>
      </c>
      <c r="G18" s="23">
        <v>0.03</v>
      </c>
      <c r="H18" s="23">
        <v>0.03</v>
      </c>
      <c r="I18" s="23">
        <v>0.03</v>
      </c>
      <c r="J18" s="23">
        <v>0.03</v>
      </c>
    </row>
    <row r="19" spans="1:10" ht="15" x14ac:dyDescent="0.25">
      <c r="A19" s="7" t="s">
        <v>16</v>
      </c>
      <c r="B19" s="7"/>
      <c r="C19" s="10"/>
      <c r="D19" s="22">
        <f>D11/C11-1</f>
        <v>9.0504166186691215E-2</v>
      </c>
      <c r="E19" s="22">
        <f t="shared" ref="E19:F19" si="10">E11/D11-1</f>
        <v>0.12874413145539898</v>
      </c>
      <c r="F19" s="22">
        <f t="shared" si="10"/>
        <v>0.13511630567022648</v>
      </c>
      <c r="G19" s="23">
        <v>0.12</v>
      </c>
      <c r="H19" s="23">
        <v>0.11</v>
      </c>
      <c r="I19" s="23">
        <v>0.1</v>
      </c>
      <c r="J19" s="23">
        <v>0.09</v>
      </c>
    </row>
    <row r="20" spans="1:10" ht="15" x14ac:dyDescent="0.25">
      <c r="A20" s="11" t="s">
        <v>19</v>
      </c>
      <c r="B20" s="11"/>
      <c r="C20" s="12"/>
      <c r="D20" s="24">
        <f>D12/C12-1</f>
        <v>-2.800460530319937E-2</v>
      </c>
      <c r="E20" s="24">
        <f t="shared" ref="E20:F20" si="11">E12/D12-1</f>
        <v>2.021994077514111E-2</v>
      </c>
      <c r="F20" s="24">
        <f t="shared" si="11"/>
        <v>6.425511782832749E-2</v>
      </c>
      <c r="G20" s="24">
        <f>G12/F12-1</f>
        <v>6.9076246933278185E-2</v>
      </c>
      <c r="H20" s="24">
        <f t="shared" ref="H20:J20" si="12">H12/G12-1</f>
        <v>6.3337806544384589E-2</v>
      </c>
      <c r="I20" s="24">
        <f t="shared" si="12"/>
        <v>5.8058112901886005E-2</v>
      </c>
      <c r="J20" s="24">
        <f t="shared" si="12"/>
        <v>5.4321814430782434E-2</v>
      </c>
    </row>
    <row r="21" spans="1:10" ht="15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 ht="15" x14ac:dyDescent="0.25">
      <c r="A22" s="3" t="s">
        <v>20</v>
      </c>
      <c r="B22" s="7"/>
      <c r="C22" s="7"/>
      <c r="D22" s="7"/>
      <c r="E22" s="7"/>
      <c r="F22" s="7"/>
      <c r="G22" s="7"/>
      <c r="H22" s="7"/>
      <c r="I22" s="7"/>
      <c r="J22" s="7"/>
    </row>
    <row r="23" spans="1:10" ht="15" x14ac:dyDescent="0.25">
      <c r="A23" s="7" t="s">
        <v>21</v>
      </c>
      <c r="B23" s="7"/>
      <c r="C23" s="23">
        <v>0.43309999999999998</v>
      </c>
      <c r="D23" s="23">
        <v>0.44130000000000003</v>
      </c>
      <c r="E23" s="23">
        <v>0.4622</v>
      </c>
      <c r="F23" s="23">
        <v>0.46899999999999997</v>
      </c>
      <c r="G23" s="23">
        <v>0.47</v>
      </c>
      <c r="H23" s="23">
        <v>0.47499999999999998</v>
      </c>
      <c r="I23" s="23">
        <v>0.47799999999999998</v>
      </c>
      <c r="J23" s="23">
        <v>0.48</v>
      </c>
    </row>
    <row r="24" spans="1:10" ht="15" x14ac:dyDescent="0.25">
      <c r="A24" s="7" t="s">
        <v>22</v>
      </c>
      <c r="B24" s="7"/>
      <c r="C24" s="23">
        <v>6.6600000000000006E-2</v>
      </c>
      <c r="D24" s="23">
        <v>7.8E-2</v>
      </c>
      <c r="E24" s="23">
        <v>8.0199999999999994E-2</v>
      </c>
      <c r="F24" s="23">
        <v>8.3000000000000004E-2</v>
      </c>
      <c r="G24" s="23">
        <v>8.4000000000000005E-2</v>
      </c>
      <c r="H24" s="23">
        <v>8.5000000000000006E-2</v>
      </c>
      <c r="I24" s="23">
        <v>8.5999999999999993E-2</v>
      </c>
      <c r="J24" s="23">
        <v>8.6999999999999994E-2</v>
      </c>
    </row>
    <row r="25" spans="1:10" ht="15" x14ac:dyDescent="0.25">
      <c r="A25" s="7" t="s">
        <v>23</v>
      </c>
      <c r="B25" s="7"/>
      <c r="C25" s="23">
        <v>6.3600000000000004E-2</v>
      </c>
      <c r="D25" s="23">
        <v>6.5100000000000005E-2</v>
      </c>
      <c r="E25" s="23">
        <v>6.6699999999999995E-2</v>
      </c>
      <c r="F25" s="23">
        <v>6.6299999999999998E-2</v>
      </c>
      <c r="G25" s="23">
        <v>6.5000000000000002E-2</v>
      </c>
      <c r="H25" s="23">
        <v>6.4000000000000001E-2</v>
      </c>
      <c r="I25" s="23">
        <v>6.3E-2</v>
      </c>
      <c r="J25" s="23">
        <v>6.2E-2</v>
      </c>
    </row>
    <row r="26" spans="1:10" ht="15" x14ac:dyDescent="0.25">
      <c r="A26" s="7" t="s">
        <v>24</v>
      </c>
      <c r="B26" s="7"/>
      <c r="C26" s="23">
        <v>0.16200000000000001</v>
      </c>
      <c r="D26" s="23">
        <v>0.14699999999999999</v>
      </c>
      <c r="E26" s="23">
        <v>0.24099999999999999</v>
      </c>
      <c r="F26" s="23">
        <v>0.15610755750438865</v>
      </c>
      <c r="G26" s="23">
        <v>0.155</v>
      </c>
      <c r="H26" s="23">
        <v>0.155</v>
      </c>
      <c r="I26" s="23">
        <v>0.155</v>
      </c>
      <c r="J26" s="23">
        <v>0.155</v>
      </c>
    </row>
    <row r="27" spans="1:10" ht="15" x14ac:dyDescent="0.25">
      <c r="A27" s="7" t="s">
        <v>25</v>
      </c>
      <c r="B27" s="7"/>
      <c r="C27" s="19">
        <v>11104</v>
      </c>
      <c r="D27" s="19">
        <v>11519</v>
      </c>
      <c r="E27" s="19">
        <v>11445</v>
      </c>
      <c r="F27" s="19">
        <v>11698</v>
      </c>
      <c r="G27" s="19">
        <v>12200</v>
      </c>
      <c r="H27" s="19">
        <v>12800</v>
      </c>
      <c r="I27" s="19">
        <v>13400</v>
      </c>
      <c r="J27" s="19">
        <v>14000</v>
      </c>
    </row>
    <row r="28" spans="1:10" ht="15" x14ac:dyDescent="0.25">
      <c r="A28" s="7" t="s">
        <v>26</v>
      </c>
      <c r="B28" s="7"/>
      <c r="C28" s="19">
        <v>9038</v>
      </c>
      <c r="D28" s="19">
        <v>10833</v>
      </c>
      <c r="E28" s="19">
        <v>11688</v>
      </c>
      <c r="F28" s="19">
        <v>12700</v>
      </c>
      <c r="G28" s="19">
        <v>13500</v>
      </c>
      <c r="H28" s="19">
        <v>14300</v>
      </c>
      <c r="I28" s="19">
        <v>15100</v>
      </c>
      <c r="J28" s="19">
        <v>15900</v>
      </c>
    </row>
    <row r="29" spans="1:10" ht="15" x14ac:dyDescent="0.25">
      <c r="A29" s="7" t="s">
        <v>27</v>
      </c>
      <c r="B29" s="7"/>
      <c r="C29" s="19">
        <v>10708</v>
      </c>
      <c r="D29" s="19">
        <v>11000</v>
      </c>
      <c r="E29" s="19">
        <v>9447</v>
      </c>
      <c r="F29" s="19">
        <v>12715</v>
      </c>
      <c r="G29" s="19">
        <v>14000</v>
      </c>
      <c r="H29" s="19">
        <v>15000</v>
      </c>
      <c r="I29" s="19">
        <v>16000</v>
      </c>
      <c r="J29" s="19">
        <v>17000</v>
      </c>
    </row>
    <row r="30" spans="1:10" ht="1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spans="1:10" ht="15" x14ac:dyDescent="0.25">
      <c r="A31" s="3" t="s">
        <v>28</v>
      </c>
      <c r="B31" s="7"/>
      <c r="C31" s="7"/>
      <c r="D31" s="7"/>
      <c r="E31" s="7"/>
      <c r="F31" s="7"/>
      <c r="G31" s="7"/>
      <c r="H31" s="7"/>
      <c r="I31" s="7"/>
      <c r="J31" s="7"/>
    </row>
    <row r="32" spans="1:10" ht="15" x14ac:dyDescent="0.25">
      <c r="A32" s="7" t="s">
        <v>29</v>
      </c>
      <c r="B32" s="7"/>
      <c r="C32" s="19">
        <v>26</v>
      </c>
      <c r="D32" s="19">
        <v>28</v>
      </c>
      <c r="E32" s="19">
        <v>31</v>
      </c>
      <c r="F32" s="19">
        <v>35</v>
      </c>
      <c r="G32" s="19">
        <v>34</v>
      </c>
      <c r="H32" s="19">
        <v>33</v>
      </c>
      <c r="I32" s="19">
        <v>33</v>
      </c>
      <c r="J32" s="19">
        <v>32</v>
      </c>
    </row>
    <row r="33" spans="1:12" ht="15" x14ac:dyDescent="0.25">
      <c r="A33" s="7" t="s">
        <v>30</v>
      </c>
      <c r="B33" s="7"/>
      <c r="C33" s="19">
        <v>8</v>
      </c>
      <c r="D33" s="19">
        <v>11</v>
      </c>
      <c r="E33" s="19">
        <v>13</v>
      </c>
      <c r="F33" s="19">
        <v>9</v>
      </c>
      <c r="G33" s="19">
        <v>9</v>
      </c>
      <c r="H33" s="19">
        <v>9</v>
      </c>
      <c r="I33" s="19">
        <v>9</v>
      </c>
      <c r="J33" s="19">
        <v>9</v>
      </c>
      <c r="L33" s="36" t="s">
        <v>178</v>
      </c>
    </row>
    <row r="34" spans="1:12" ht="15" x14ac:dyDescent="0.25">
      <c r="A34" s="7" t="s">
        <v>31</v>
      </c>
      <c r="B34" s="7"/>
      <c r="C34" s="19">
        <v>105</v>
      </c>
      <c r="D34" s="19">
        <v>106</v>
      </c>
      <c r="E34" s="19">
        <v>120</v>
      </c>
      <c r="F34" s="19">
        <v>115</v>
      </c>
      <c r="G34" s="19">
        <v>112</v>
      </c>
      <c r="H34" s="19">
        <v>110</v>
      </c>
      <c r="I34" s="19">
        <v>108</v>
      </c>
      <c r="J34" s="19">
        <v>106</v>
      </c>
    </row>
    <row r="35" spans="1:12" ht="15" x14ac:dyDescent="0.25">
      <c r="A35" s="7" t="s">
        <v>32</v>
      </c>
      <c r="B35" s="7"/>
      <c r="C35" s="19">
        <v>16326</v>
      </c>
      <c r="D35" s="19">
        <v>15813</v>
      </c>
      <c r="E35" s="19">
        <v>15408</v>
      </c>
      <c r="F35" s="19">
        <v>14864</v>
      </c>
      <c r="G35" s="20">
        <f>ROUND(F35*(1-0.035),0)</f>
        <v>14344</v>
      </c>
      <c r="H35" s="20">
        <f t="shared" ref="H35:J35" si="13">ROUND(G35*(1-0.035),0)</f>
        <v>13842</v>
      </c>
      <c r="I35" s="20">
        <f t="shared" si="13"/>
        <v>13358</v>
      </c>
      <c r="J35" s="20">
        <f t="shared" si="13"/>
        <v>12890</v>
      </c>
      <c r="L35" t="s">
        <v>177</v>
      </c>
    </row>
    <row r="36" spans="1:12" ht="15" x14ac:dyDescent="0.25">
      <c r="A36" s="7" t="s">
        <v>33</v>
      </c>
      <c r="B36" s="7"/>
      <c r="C36" s="25">
        <v>0.9</v>
      </c>
      <c r="D36" s="25">
        <v>0.95</v>
      </c>
      <c r="E36" s="25">
        <v>1</v>
      </c>
      <c r="F36" s="25">
        <v>1.01</v>
      </c>
      <c r="G36" s="25">
        <v>1.04</v>
      </c>
      <c r="H36" s="25">
        <v>1.08</v>
      </c>
      <c r="I36" s="25">
        <v>1.1200000000000001</v>
      </c>
      <c r="J36" s="25">
        <v>1.1599999999999999</v>
      </c>
    </row>
    <row r="37" spans="1:12" ht="15" x14ac:dyDescent="0.25">
      <c r="A37" s="7" t="s">
        <v>34</v>
      </c>
      <c r="B37" s="7"/>
      <c r="C37" s="19">
        <v>89402</v>
      </c>
      <c r="D37" s="19">
        <v>77550</v>
      </c>
      <c r="E37" s="19">
        <v>94949</v>
      </c>
      <c r="F37" s="19">
        <v>89300</v>
      </c>
      <c r="G37" s="19">
        <v>95000</v>
      </c>
      <c r="H37" s="19">
        <v>95000</v>
      </c>
      <c r="I37" s="19">
        <v>95000</v>
      </c>
      <c r="J37" s="19">
        <v>95000</v>
      </c>
    </row>
    <row r="38" spans="1:12" ht="1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2" ht="1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  <row r="40" spans="1:12" ht="16.5" thickBot="1" x14ac:dyDescent="0.3">
      <c r="A40" s="13" t="s">
        <v>35</v>
      </c>
      <c r="B40" s="13"/>
      <c r="C40" s="13"/>
      <c r="D40" s="13"/>
      <c r="E40" s="13"/>
      <c r="F40" s="13"/>
      <c r="G40" s="13"/>
      <c r="H40" s="13"/>
      <c r="I40" s="13"/>
      <c r="J40" s="13"/>
    </row>
    <row r="41" spans="1:12" ht="15" x14ac:dyDescent="0.25">
      <c r="A41" s="7" t="s">
        <v>36</v>
      </c>
      <c r="B41" s="7"/>
      <c r="C41" s="20">
        <f>C12</f>
        <v>394328</v>
      </c>
      <c r="D41" s="20">
        <f t="shared" ref="D41:J41" si="14">D12</f>
        <v>383285</v>
      </c>
      <c r="E41" s="20">
        <f t="shared" si="14"/>
        <v>391035</v>
      </c>
      <c r="F41" s="20">
        <f t="shared" si="14"/>
        <v>416161</v>
      </c>
      <c r="G41" s="20">
        <f t="shared" si="14"/>
        <v>444907.84</v>
      </c>
      <c r="H41" s="20">
        <f t="shared" si="14"/>
        <v>473087.32670000003</v>
      </c>
      <c r="I41" s="20">
        <f t="shared" si="14"/>
        <v>500553.88412600011</v>
      </c>
      <c r="J41" s="20">
        <f t="shared" si="14"/>
        <v>527744.87933210004</v>
      </c>
      <c r="L41" t="s">
        <v>175</v>
      </c>
    </row>
    <row r="42" spans="1:12" ht="15" x14ac:dyDescent="0.25">
      <c r="A42" s="7" t="s">
        <v>37</v>
      </c>
      <c r="B42" s="7"/>
      <c r="C42" s="19">
        <v>-223546</v>
      </c>
      <c r="D42" s="19">
        <v>-214137</v>
      </c>
      <c r="E42" s="19">
        <v>-210352</v>
      </c>
      <c r="F42" s="19">
        <v>-220960</v>
      </c>
      <c r="G42" s="20">
        <f>-G41*(1-G23)</f>
        <v>-235801.15520000004</v>
      </c>
      <c r="H42" s="20">
        <f t="shared" ref="H42:J42" si="15">-H41*(1-H23)</f>
        <v>-248370.84651750003</v>
      </c>
      <c r="I42" s="20">
        <f t="shared" si="15"/>
        <v>-261289.12751377205</v>
      </c>
      <c r="J42" s="20">
        <f t="shared" si="15"/>
        <v>-274427.33725269203</v>
      </c>
    </row>
    <row r="43" spans="1:12" ht="15" x14ac:dyDescent="0.25">
      <c r="A43" s="11" t="s">
        <v>38</v>
      </c>
      <c r="B43" s="11"/>
      <c r="C43" s="21">
        <f>C41+C42</f>
        <v>170782</v>
      </c>
      <c r="D43" s="21">
        <f t="shared" ref="D43:J43" si="16">D41+D42</f>
        <v>169148</v>
      </c>
      <c r="E43" s="21">
        <f t="shared" si="16"/>
        <v>180683</v>
      </c>
      <c r="F43" s="21">
        <f t="shared" si="16"/>
        <v>195201</v>
      </c>
      <c r="G43" s="21">
        <f t="shared" si="16"/>
        <v>209106.68479999999</v>
      </c>
      <c r="H43" s="21">
        <f t="shared" si="16"/>
        <v>224716.4801825</v>
      </c>
      <c r="I43" s="21">
        <f t="shared" si="16"/>
        <v>239264.75661222806</v>
      </c>
      <c r="J43" s="21">
        <f t="shared" si="16"/>
        <v>253317.54207940801</v>
      </c>
    </row>
    <row r="44" spans="1:12" ht="15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</row>
    <row r="45" spans="1:12" ht="15" x14ac:dyDescent="0.25">
      <c r="A45" s="7" t="s">
        <v>39</v>
      </c>
      <c r="B45" s="7"/>
      <c r="C45" s="19">
        <v>-26251</v>
      </c>
      <c r="D45" s="19">
        <v>-29915</v>
      </c>
      <c r="E45" s="19">
        <v>-31370</v>
      </c>
      <c r="F45" s="19">
        <v>-34550</v>
      </c>
      <c r="G45" s="20">
        <f>-G41*G24</f>
        <v>-37372.258560000002</v>
      </c>
      <c r="H45" s="20">
        <f t="shared" ref="H45:J45" si="17">-H41*H24</f>
        <v>-40212.422769500008</v>
      </c>
      <c r="I45" s="20">
        <f t="shared" si="17"/>
        <v>-43047.634034836003</v>
      </c>
      <c r="J45" s="20">
        <f t="shared" si="17"/>
        <v>-45913.804501892701</v>
      </c>
    </row>
    <row r="46" spans="1:12" ht="15" x14ac:dyDescent="0.25">
      <c r="A46" s="7" t="s">
        <v>40</v>
      </c>
      <c r="B46" s="7"/>
      <c r="C46" s="19">
        <v>-25094</v>
      </c>
      <c r="D46" s="19">
        <v>-24932</v>
      </c>
      <c r="E46" s="19">
        <v>-26097</v>
      </c>
      <c r="F46" s="19">
        <v>-27601</v>
      </c>
      <c r="G46" s="20">
        <f>-G41*G25</f>
        <v>-28919.009600000001</v>
      </c>
      <c r="H46" s="20">
        <f t="shared" ref="H46:J46" si="18">-H41*H25</f>
        <v>-30277.588908800004</v>
      </c>
      <c r="I46" s="20">
        <f t="shared" si="18"/>
        <v>-31534.894699938006</v>
      </c>
      <c r="J46" s="20">
        <f t="shared" si="18"/>
        <v>-32720.182518590202</v>
      </c>
    </row>
    <row r="47" spans="1:12" ht="15" x14ac:dyDescent="0.25">
      <c r="A47" s="1" t="s">
        <v>41</v>
      </c>
      <c r="B47" s="1"/>
      <c r="C47" s="26">
        <f>C45+C46</f>
        <v>-51345</v>
      </c>
      <c r="D47" s="26">
        <f t="shared" ref="D47:J47" si="19">D45+D46</f>
        <v>-54847</v>
      </c>
      <c r="E47" s="26">
        <f t="shared" si="19"/>
        <v>-57467</v>
      </c>
      <c r="F47" s="26">
        <f t="shared" si="19"/>
        <v>-62151</v>
      </c>
      <c r="G47" s="26">
        <f t="shared" si="19"/>
        <v>-66291.268160000007</v>
      </c>
      <c r="H47" s="26">
        <f t="shared" si="19"/>
        <v>-70490.011678300012</v>
      </c>
      <c r="I47" s="26">
        <f t="shared" si="19"/>
        <v>-74582.528734774009</v>
      </c>
      <c r="J47" s="26">
        <f t="shared" si="19"/>
        <v>-78633.987020482906</v>
      </c>
    </row>
    <row r="48" spans="1:12" ht="15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</row>
    <row r="49" spans="1:12" ht="15" x14ac:dyDescent="0.25">
      <c r="A49" s="11" t="s">
        <v>42</v>
      </c>
      <c r="B49" s="11"/>
      <c r="C49" s="21">
        <f>C43+C47</f>
        <v>119437</v>
      </c>
      <c r="D49" s="21">
        <f t="shared" ref="D49:J49" si="20">D43+D47</f>
        <v>114301</v>
      </c>
      <c r="E49" s="21">
        <f t="shared" si="20"/>
        <v>123216</v>
      </c>
      <c r="F49" s="21">
        <f t="shared" si="20"/>
        <v>133050</v>
      </c>
      <c r="G49" s="21">
        <f t="shared" si="20"/>
        <v>142815.41663999998</v>
      </c>
      <c r="H49" s="21">
        <f t="shared" si="20"/>
        <v>154226.46850419999</v>
      </c>
      <c r="I49" s="21">
        <f t="shared" si="20"/>
        <v>164682.22787745405</v>
      </c>
      <c r="J49" s="21">
        <f t="shared" si="20"/>
        <v>174683.55505892512</v>
      </c>
    </row>
    <row r="50" spans="1:12" ht="15" x14ac:dyDescent="0.25">
      <c r="A50" s="7" t="s">
        <v>43</v>
      </c>
      <c r="B50" s="7"/>
      <c r="C50" s="19">
        <v>-334</v>
      </c>
      <c r="D50" s="19">
        <v>-565</v>
      </c>
      <c r="E50" s="19">
        <v>269</v>
      </c>
      <c r="F50" s="31">
        <v>-321</v>
      </c>
      <c r="G50" s="19">
        <v>-500</v>
      </c>
      <c r="H50" s="19">
        <v>-400</v>
      </c>
      <c r="I50" s="19">
        <v>-300</v>
      </c>
      <c r="J50" s="19">
        <v>-200</v>
      </c>
      <c r="L50" t="s">
        <v>176</v>
      </c>
    </row>
    <row r="51" spans="1:12" ht="15" x14ac:dyDescent="0.25">
      <c r="A51" s="1" t="s">
        <v>44</v>
      </c>
      <c r="B51" s="1"/>
      <c r="C51" s="26">
        <f>C49+C50</f>
        <v>119103</v>
      </c>
      <c r="D51" s="26">
        <f t="shared" ref="D51:J51" si="21">D49+D50</f>
        <v>113736</v>
      </c>
      <c r="E51" s="26">
        <f t="shared" si="21"/>
        <v>123485</v>
      </c>
      <c r="F51" s="35">
        <f t="shared" si="21"/>
        <v>132729</v>
      </c>
      <c r="G51" s="26">
        <f t="shared" si="21"/>
        <v>142315.41663999998</v>
      </c>
      <c r="H51" s="26">
        <f t="shared" si="21"/>
        <v>153826.46850419999</v>
      </c>
      <c r="I51" s="26">
        <f t="shared" si="21"/>
        <v>164382.22787745405</v>
      </c>
      <c r="J51" s="26">
        <f t="shared" si="21"/>
        <v>174483.55505892512</v>
      </c>
    </row>
    <row r="52" spans="1:12" ht="15" x14ac:dyDescent="0.25">
      <c r="A52" s="7" t="s">
        <v>45</v>
      </c>
      <c r="B52" s="7"/>
      <c r="C52" s="19">
        <v>-19300</v>
      </c>
      <c r="D52" s="19">
        <v>-16741</v>
      </c>
      <c r="E52" s="19">
        <v>-29749</v>
      </c>
      <c r="F52" s="31">
        <v>-20720</v>
      </c>
      <c r="G52" s="20">
        <f>-G51*G26</f>
        <v>-22058.889579199997</v>
      </c>
      <c r="H52" s="20">
        <f t="shared" ref="H52:J52" si="22">-H51*H26</f>
        <v>-23843.102618150999</v>
      </c>
      <c r="I52" s="20">
        <f t="shared" si="22"/>
        <v>-25479.245321005375</v>
      </c>
      <c r="J52" s="20">
        <f t="shared" si="22"/>
        <v>-27044.951034133395</v>
      </c>
    </row>
    <row r="53" spans="1:12" ht="15.75" thickBot="1" x14ac:dyDescent="0.3">
      <c r="A53" s="14" t="s">
        <v>46</v>
      </c>
      <c r="B53" s="14"/>
      <c r="C53" s="27">
        <f>C51+C52</f>
        <v>99803</v>
      </c>
      <c r="D53" s="27">
        <f t="shared" ref="D53:J53" si="23">D51+D52</f>
        <v>96995</v>
      </c>
      <c r="E53" s="27">
        <f t="shared" si="23"/>
        <v>93736</v>
      </c>
      <c r="F53" s="27">
        <f t="shared" si="23"/>
        <v>112009</v>
      </c>
      <c r="G53" s="27">
        <f t="shared" si="23"/>
        <v>120256.52706079998</v>
      </c>
      <c r="H53" s="27">
        <f t="shared" si="23"/>
        <v>129983.365886049</v>
      </c>
      <c r="I53" s="27">
        <f t="shared" si="23"/>
        <v>138902.98255644867</v>
      </c>
      <c r="J53" s="27">
        <f t="shared" si="23"/>
        <v>147438.60402479174</v>
      </c>
    </row>
    <row r="54" spans="1:12" ht="15.75" thickTop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spans="1:12" ht="15" x14ac:dyDescent="0.25">
      <c r="A55" s="7" t="s">
        <v>47</v>
      </c>
      <c r="B55" s="7"/>
      <c r="C55" s="28">
        <f>C53/C35</f>
        <v>6.1131324268038707</v>
      </c>
      <c r="D55" s="28">
        <f t="shared" ref="D55:J55" si="24">D53/D35</f>
        <v>6.1338771896540818</v>
      </c>
      <c r="E55" s="28">
        <f t="shared" si="24"/>
        <v>6.0835929387331253</v>
      </c>
      <c r="F55" s="28">
        <f t="shared" si="24"/>
        <v>7.5355893433799785</v>
      </c>
      <c r="G55" s="28">
        <f t="shared" si="24"/>
        <v>8.3837511894032346</v>
      </c>
      <c r="H55" s="28">
        <f t="shared" si="24"/>
        <v>9.3905046876209362</v>
      </c>
      <c r="I55" s="28">
        <f t="shared" si="24"/>
        <v>10.398486491723961</v>
      </c>
      <c r="J55" s="28">
        <f t="shared" si="24"/>
        <v>11.438215983304246</v>
      </c>
    </row>
    <row r="56" spans="1:12" ht="15" x14ac:dyDescent="0.25">
      <c r="A56" s="7" t="s">
        <v>48</v>
      </c>
      <c r="B56" s="7"/>
      <c r="C56" s="22">
        <f>C43/C41</f>
        <v>0.43309630561360085</v>
      </c>
      <c r="D56" s="22">
        <f t="shared" ref="D56:J56" si="25">D43/D41</f>
        <v>0.44131129577207562</v>
      </c>
      <c r="E56" s="22">
        <f t="shared" si="25"/>
        <v>0.46206349815233932</v>
      </c>
      <c r="F56" s="22">
        <f t="shared" si="25"/>
        <v>0.46905164107160452</v>
      </c>
      <c r="G56" s="22">
        <f t="shared" si="25"/>
        <v>0.47</v>
      </c>
      <c r="H56" s="22">
        <f t="shared" si="25"/>
        <v>0.47499999999999998</v>
      </c>
      <c r="I56" s="22">
        <f t="shared" si="25"/>
        <v>0.47800000000000004</v>
      </c>
      <c r="J56" s="22">
        <f t="shared" si="25"/>
        <v>0.48</v>
      </c>
    </row>
    <row r="57" spans="1:12" ht="15" x14ac:dyDescent="0.25">
      <c r="A57" s="7" t="s">
        <v>49</v>
      </c>
      <c r="B57" s="7"/>
      <c r="C57" s="22">
        <f>C49/C41</f>
        <v>0.30288744395528594</v>
      </c>
      <c r="D57" s="22">
        <f t="shared" ref="D57:J57" si="26">D49/D41</f>
        <v>0.29821412265024722</v>
      </c>
      <c r="E57" s="22">
        <f t="shared" si="26"/>
        <v>0.31510222870075566</v>
      </c>
      <c r="F57" s="22">
        <f t="shared" si="26"/>
        <v>0.31970799762591884</v>
      </c>
      <c r="G57" s="22">
        <f t="shared" si="26"/>
        <v>0.32099999999999995</v>
      </c>
      <c r="H57" s="22">
        <f t="shared" si="26"/>
        <v>0.32599999999999996</v>
      </c>
      <c r="I57" s="22">
        <f t="shared" si="26"/>
        <v>0.32900000000000001</v>
      </c>
      <c r="J57" s="22">
        <f t="shared" si="26"/>
        <v>0.33100000000000002</v>
      </c>
    </row>
    <row r="58" spans="1:12" ht="15" x14ac:dyDescent="0.25">
      <c r="A58" s="7" t="s">
        <v>50</v>
      </c>
      <c r="B58" s="7"/>
      <c r="C58" s="22">
        <f>C53/C41</f>
        <v>0.25309640705199732</v>
      </c>
      <c r="D58" s="22">
        <f t="shared" ref="D58:J58" si="27">D53/D41</f>
        <v>0.25306234264320282</v>
      </c>
      <c r="E58" s="22">
        <f t="shared" si="27"/>
        <v>0.23971255769943867</v>
      </c>
      <c r="F58" s="22">
        <f t="shared" si="27"/>
        <v>0.2691482383020033</v>
      </c>
      <c r="G58" s="22">
        <f t="shared" si="27"/>
        <v>0.27029536512730362</v>
      </c>
      <c r="H58" s="22">
        <f t="shared" si="27"/>
        <v>0.27475554416716735</v>
      </c>
      <c r="I58" s="22">
        <f t="shared" si="27"/>
        <v>0.27749856101702691</v>
      </c>
      <c r="J58" s="22">
        <f t="shared" si="27"/>
        <v>0.27937476951246998</v>
      </c>
    </row>
    <row r="59" spans="1:12" ht="15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</row>
    <row r="60" spans="1:12" ht="15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</row>
    <row r="61" spans="1:12" ht="16.5" thickBot="1" x14ac:dyDescent="0.3">
      <c r="A61" s="13" t="s">
        <v>51</v>
      </c>
      <c r="B61" s="13"/>
      <c r="C61" s="13"/>
      <c r="D61" s="13"/>
      <c r="E61" s="13"/>
      <c r="F61" s="13"/>
      <c r="G61" s="13"/>
      <c r="H61" s="13"/>
      <c r="I61" s="13"/>
      <c r="J61" s="13"/>
    </row>
    <row r="62" spans="1:12" ht="15" x14ac:dyDescent="0.25">
      <c r="A62" s="3" t="s">
        <v>52</v>
      </c>
      <c r="B62" s="7"/>
      <c r="C62" s="7"/>
      <c r="D62" s="7"/>
      <c r="E62" s="7"/>
      <c r="F62" s="7"/>
      <c r="G62" s="7"/>
      <c r="H62" s="7"/>
      <c r="I62" s="7"/>
      <c r="J62" s="7"/>
    </row>
    <row r="63" spans="1:12" ht="15" x14ac:dyDescent="0.25">
      <c r="A63" s="7" t="s">
        <v>53</v>
      </c>
      <c r="B63" s="7"/>
      <c r="C63" s="19">
        <v>23646</v>
      </c>
      <c r="D63" s="19">
        <v>29965</v>
      </c>
      <c r="E63" s="19">
        <v>29943</v>
      </c>
      <c r="F63" s="31">
        <v>35934</v>
      </c>
      <c r="G63" s="20">
        <f>G115</f>
        <v>69194.054939156165</v>
      </c>
      <c r="H63" s="20">
        <f t="shared" ref="H63:J63" si="28">H115</f>
        <v>100185.37943223941</v>
      </c>
      <c r="I63" s="20">
        <f t="shared" si="28"/>
        <v>139287.05056550432</v>
      </c>
      <c r="J63" s="20">
        <f t="shared" si="28"/>
        <v>188720.57000722346</v>
      </c>
    </row>
    <row r="64" spans="1:12" ht="15" x14ac:dyDescent="0.25">
      <c r="A64" s="7" t="s">
        <v>54</v>
      </c>
      <c r="B64" s="7"/>
      <c r="C64" s="19">
        <v>24658</v>
      </c>
      <c r="D64" s="19">
        <v>31590</v>
      </c>
      <c r="E64" s="19">
        <v>35228</v>
      </c>
      <c r="F64" s="31">
        <v>23476</v>
      </c>
      <c r="G64" s="20">
        <f>F64</f>
        <v>23476</v>
      </c>
      <c r="H64" s="20">
        <f t="shared" ref="H64:J64" si="29">G64</f>
        <v>23476</v>
      </c>
      <c r="I64" s="20">
        <f t="shared" si="29"/>
        <v>23476</v>
      </c>
      <c r="J64" s="20">
        <f t="shared" si="29"/>
        <v>23476</v>
      </c>
    </row>
    <row r="65" spans="1:12" ht="15" x14ac:dyDescent="0.25">
      <c r="A65" s="7" t="s">
        <v>55</v>
      </c>
      <c r="B65" s="7"/>
      <c r="C65" s="19">
        <v>28184</v>
      </c>
      <c r="D65" s="19">
        <v>29508</v>
      </c>
      <c r="E65" s="19">
        <v>33410</v>
      </c>
      <c r="F65" s="31">
        <v>36000</v>
      </c>
      <c r="G65" s="20">
        <f>G32*G41/365</f>
        <v>41443.470027397263</v>
      </c>
      <c r="H65" s="20">
        <f t="shared" ref="H65:J65" si="30">H32*H41/365</f>
        <v>42772.278852328767</v>
      </c>
      <c r="I65" s="20">
        <f t="shared" si="30"/>
        <v>45255.556647008227</v>
      </c>
      <c r="J65" s="20">
        <f t="shared" si="30"/>
        <v>46268.044215416987</v>
      </c>
    </row>
    <row r="66" spans="1:12" ht="15" x14ac:dyDescent="0.25">
      <c r="A66" s="7" t="s">
        <v>56</v>
      </c>
      <c r="B66" s="7"/>
      <c r="C66" s="19">
        <v>4946</v>
      </c>
      <c r="D66" s="19">
        <v>6331</v>
      </c>
      <c r="E66" s="19">
        <v>7286</v>
      </c>
      <c r="F66" s="31">
        <v>5718</v>
      </c>
      <c r="G66" s="20">
        <f>G33*(-G42)/365</f>
        <v>5814.2750597260283</v>
      </c>
      <c r="H66" s="20">
        <f t="shared" ref="H66:J66" si="31">H33*(-H42)/365</f>
        <v>6124.2126538561661</v>
      </c>
      <c r="I66" s="20">
        <f t="shared" si="31"/>
        <v>6442.7456099286255</v>
      </c>
      <c r="J66" s="20">
        <f t="shared" si="31"/>
        <v>6766.7014665047345</v>
      </c>
    </row>
    <row r="67" spans="1:12" ht="15" x14ac:dyDescent="0.25">
      <c r="A67" s="7" t="s">
        <v>57</v>
      </c>
      <c r="B67" s="7"/>
      <c r="C67" s="19">
        <v>53971</v>
      </c>
      <c r="D67" s="19">
        <v>46257</v>
      </c>
      <c r="E67" s="19">
        <v>47041</v>
      </c>
      <c r="F67" s="31">
        <v>29524</v>
      </c>
      <c r="G67" s="20">
        <f>(G75+G76+G77+G80+G81+G85+G86+G87)-G63-G64-G65-G66-G70-G71</f>
        <v>15118.389999999956</v>
      </c>
      <c r="H67" s="20">
        <f t="shared" ref="H67:J67" si="32">(H75+H76+H77+H80+H81+H85+H86+H87)-H63-H64-H65-H66-H70-H71</f>
        <v>12118.390000000043</v>
      </c>
      <c r="I67" s="20">
        <f t="shared" si="32"/>
        <v>9118.3899999999558</v>
      </c>
      <c r="J67" s="20">
        <f t="shared" si="32"/>
        <v>6118.3899999999849</v>
      </c>
      <c r="L67" t="s">
        <v>179</v>
      </c>
    </row>
    <row r="68" spans="1:12" ht="15" x14ac:dyDescent="0.25">
      <c r="A68" s="11" t="s">
        <v>58</v>
      </c>
      <c r="B68" s="11"/>
      <c r="C68" s="21">
        <f>SUM(C63:C67)</f>
        <v>135405</v>
      </c>
      <c r="D68" s="21">
        <f t="shared" ref="D68:J68" si="33">SUM(D63:D67)</f>
        <v>143651</v>
      </c>
      <c r="E68" s="21">
        <f t="shared" si="33"/>
        <v>152908</v>
      </c>
      <c r="F68" s="32">
        <f t="shared" si="33"/>
        <v>130652</v>
      </c>
      <c r="G68" s="21">
        <f t="shared" si="33"/>
        <v>155046.19002627942</v>
      </c>
      <c r="H68" s="21">
        <f t="shared" si="33"/>
        <v>184676.26093842438</v>
      </c>
      <c r="I68" s="21">
        <f t="shared" si="33"/>
        <v>223579.74282244113</v>
      </c>
      <c r="J68" s="21">
        <f t="shared" si="33"/>
        <v>271349.70568914514</v>
      </c>
    </row>
    <row r="69" spans="1:12" ht="15" x14ac:dyDescent="0.25">
      <c r="A69" s="7"/>
      <c r="B69" s="7"/>
      <c r="C69" s="7"/>
      <c r="D69" s="7"/>
      <c r="E69" s="7"/>
      <c r="F69" s="33"/>
      <c r="G69" s="7"/>
      <c r="H69" s="7"/>
      <c r="I69" s="7"/>
      <c r="J69" s="7"/>
    </row>
    <row r="70" spans="1:12" ht="15" x14ac:dyDescent="0.25">
      <c r="A70" s="7" t="s">
        <v>59</v>
      </c>
      <c r="B70" s="7"/>
      <c r="C70" s="19">
        <v>42117</v>
      </c>
      <c r="D70" s="19">
        <v>43715</v>
      </c>
      <c r="E70" s="19">
        <v>45680</v>
      </c>
      <c r="F70" s="31">
        <v>49834</v>
      </c>
      <c r="G70" s="20">
        <f>F70+G29-G27</f>
        <v>51634</v>
      </c>
      <c r="H70" s="20">
        <f t="shared" ref="H70:J70" si="34">G70+H29-H27</f>
        <v>53834</v>
      </c>
      <c r="I70" s="20">
        <f t="shared" si="34"/>
        <v>56434</v>
      </c>
      <c r="J70" s="20">
        <f t="shared" si="34"/>
        <v>59434</v>
      </c>
      <c r="L70" t="s">
        <v>185</v>
      </c>
    </row>
    <row r="71" spans="1:12" ht="15" x14ac:dyDescent="0.25">
      <c r="A71" s="7" t="s">
        <v>60</v>
      </c>
      <c r="B71" s="7"/>
      <c r="C71" s="19">
        <v>175233</v>
      </c>
      <c r="D71" s="19">
        <v>165217</v>
      </c>
      <c r="E71" s="19">
        <v>166392</v>
      </c>
      <c r="F71" s="31">
        <v>178755</v>
      </c>
      <c r="G71" s="20">
        <f>F71</f>
        <v>178755</v>
      </c>
      <c r="H71" s="20">
        <f t="shared" ref="H71:J71" si="35">G71</f>
        <v>178755</v>
      </c>
      <c r="I71" s="20">
        <f t="shared" si="35"/>
        <v>178755</v>
      </c>
      <c r="J71" s="20">
        <f t="shared" si="35"/>
        <v>178755</v>
      </c>
      <c r="L71" t="s">
        <v>182</v>
      </c>
    </row>
    <row r="72" spans="1:12" ht="15.75" thickBot="1" x14ac:dyDescent="0.3">
      <c r="A72" s="14" t="s">
        <v>61</v>
      </c>
      <c r="B72" s="14"/>
      <c r="C72" s="27">
        <f>C68+C70+C71</f>
        <v>352755</v>
      </c>
      <c r="D72" s="27">
        <f t="shared" ref="D72:J72" si="36">D68+D70+D71</f>
        <v>352583</v>
      </c>
      <c r="E72" s="27">
        <f t="shared" si="36"/>
        <v>364980</v>
      </c>
      <c r="F72" s="34">
        <f t="shared" si="36"/>
        <v>359241</v>
      </c>
      <c r="G72" s="27">
        <f t="shared" si="36"/>
        <v>385435.19002627942</v>
      </c>
      <c r="H72" s="27">
        <f t="shared" si="36"/>
        <v>417265.26093842438</v>
      </c>
      <c r="I72" s="27">
        <f t="shared" si="36"/>
        <v>458768.74282244116</v>
      </c>
      <c r="J72" s="27">
        <f t="shared" si="36"/>
        <v>509538.70568914514</v>
      </c>
    </row>
    <row r="73" spans="1:12" ht="15.75" thickTop="1" x14ac:dyDescent="0.25">
      <c r="A73" s="7"/>
      <c r="B73" s="7"/>
      <c r="C73" s="7"/>
      <c r="D73" s="7"/>
      <c r="E73" s="7"/>
      <c r="F73" s="33"/>
      <c r="G73" s="7"/>
      <c r="H73" s="7"/>
      <c r="I73" s="7"/>
      <c r="J73" s="7"/>
    </row>
    <row r="74" spans="1:12" ht="15" x14ac:dyDescent="0.25">
      <c r="A74" s="3" t="s">
        <v>62</v>
      </c>
      <c r="B74" s="7"/>
      <c r="C74" s="7"/>
      <c r="D74" s="7"/>
      <c r="E74" s="7"/>
      <c r="F74" s="33"/>
      <c r="G74" s="7"/>
      <c r="H74" s="7"/>
      <c r="I74" s="7"/>
      <c r="J74" s="7"/>
    </row>
    <row r="75" spans="1:12" ht="15" x14ac:dyDescent="0.25">
      <c r="A75" s="7" t="s">
        <v>63</v>
      </c>
      <c r="B75" s="7"/>
      <c r="C75" s="19">
        <v>64115</v>
      </c>
      <c r="D75" s="19">
        <v>62611</v>
      </c>
      <c r="E75" s="19">
        <v>68960</v>
      </c>
      <c r="F75" s="31">
        <v>65000</v>
      </c>
      <c r="G75" s="20">
        <f>G34*(-G42)/365</f>
        <v>72355.422965479462</v>
      </c>
      <c r="H75" s="20">
        <f t="shared" ref="H75:J75" si="37">H34*(-H42)/365</f>
        <v>74851.487991575355</v>
      </c>
      <c r="I75" s="20">
        <f t="shared" si="37"/>
        <v>77312.94731914351</v>
      </c>
      <c r="J75" s="20">
        <f t="shared" si="37"/>
        <v>79696.706161055772</v>
      </c>
      <c r="L75" t="s">
        <v>180</v>
      </c>
    </row>
    <row r="76" spans="1:12" ht="15" x14ac:dyDescent="0.25">
      <c r="A76" s="7" t="s">
        <v>64</v>
      </c>
      <c r="B76" s="7"/>
      <c r="C76" s="19">
        <v>21110</v>
      </c>
      <c r="D76" s="19">
        <v>15807</v>
      </c>
      <c r="E76" s="19">
        <v>10912</v>
      </c>
      <c r="F76" s="31">
        <v>11000</v>
      </c>
      <c r="G76" s="20">
        <f>F76</f>
        <v>11000</v>
      </c>
      <c r="H76" s="20">
        <f t="shared" ref="H76:J76" si="38">G76</f>
        <v>11000</v>
      </c>
      <c r="I76" s="20">
        <f t="shared" si="38"/>
        <v>11000</v>
      </c>
      <c r="J76" s="20">
        <f t="shared" si="38"/>
        <v>11000</v>
      </c>
      <c r="L76" t="s">
        <v>181</v>
      </c>
    </row>
    <row r="77" spans="1:12" ht="15" x14ac:dyDescent="0.25">
      <c r="A77" s="7" t="s">
        <v>65</v>
      </c>
      <c r="B77" s="7"/>
      <c r="C77" s="19">
        <v>68757</v>
      </c>
      <c r="D77" s="19">
        <v>66890</v>
      </c>
      <c r="E77" s="19">
        <v>96520</v>
      </c>
      <c r="F77" s="31">
        <v>70000</v>
      </c>
      <c r="G77" s="20">
        <f>F77</f>
        <v>70000</v>
      </c>
      <c r="H77" s="20">
        <f t="shared" ref="H77:J77" si="39">G77</f>
        <v>70000</v>
      </c>
      <c r="I77" s="20">
        <f t="shared" si="39"/>
        <v>70000</v>
      </c>
      <c r="J77" s="20">
        <f t="shared" si="39"/>
        <v>70000</v>
      </c>
    </row>
    <row r="78" spans="1:12" ht="15" x14ac:dyDescent="0.25">
      <c r="A78" s="11" t="s">
        <v>66</v>
      </c>
      <c r="B78" s="11"/>
      <c r="C78" s="21">
        <f>SUM(C75:C77)</f>
        <v>153982</v>
      </c>
      <c r="D78" s="21">
        <f t="shared" ref="D78:J78" si="40">SUM(D75:D77)</f>
        <v>145308</v>
      </c>
      <c r="E78" s="21">
        <f t="shared" si="40"/>
        <v>176392</v>
      </c>
      <c r="F78" s="32">
        <f t="shared" si="40"/>
        <v>146000</v>
      </c>
      <c r="G78" s="21">
        <f t="shared" si="40"/>
        <v>153355.42296547946</v>
      </c>
      <c r="H78" s="21">
        <f t="shared" si="40"/>
        <v>155851.48799157536</v>
      </c>
      <c r="I78" s="21">
        <f t="shared" si="40"/>
        <v>158312.94731914351</v>
      </c>
      <c r="J78" s="21">
        <f t="shared" si="40"/>
        <v>160696.70616105577</v>
      </c>
    </row>
    <row r="79" spans="1:12" ht="15" x14ac:dyDescent="0.25">
      <c r="A79" s="7"/>
      <c r="B79" s="7"/>
      <c r="C79" s="7"/>
      <c r="D79" s="7"/>
      <c r="E79" s="7"/>
      <c r="F79" s="33"/>
      <c r="G79" s="7"/>
      <c r="H79" s="7"/>
      <c r="I79" s="7"/>
      <c r="J79" s="7"/>
    </row>
    <row r="80" spans="1:12" ht="15" x14ac:dyDescent="0.25">
      <c r="A80" s="7" t="s">
        <v>67</v>
      </c>
      <c r="B80" s="7"/>
      <c r="C80" s="19">
        <v>98959</v>
      </c>
      <c r="D80" s="19">
        <v>95281</v>
      </c>
      <c r="E80" s="19">
        <v>96613</v>
      </c>
      <c r="F80" s="31">
        <v>86000</v>
      </c>
      <c r="G80" s="19">
        <v>81000</v>
      </c>
      <c r="H80" s="19">
        <v>76000</v>
      </c>
      <c r="I80" s="19">
        <v>71000</v>
      </c>
      <c r="J80" s="19">
        <v>66000</v>
      </c>
    </row>
    <row r="81" spans="1:10" ht="15" x14ac:dyDescent="0.25">
      <c r="A81" s="7" t="s">
        <v>68</v>
      </c>
      <c r="B81" s="7"/>
      <c r="C81" s="19">
        <v>49142</v>
      </c>
      <c r="D81" s="19">
        <v>49848</v>
      </c>
      <c r="E81" s="19">
        <v>35025</v>
      </c>
      <c r="F81" s="31">
        <v>53508</v>
      </c>
      <c r="G81" s="20">
        <f>F81</f>
        <v>53508</v>
      </c>
      <c r="H81" s="20">
        <f t="shared" ref="H81:J81" si="41">G81</f>
        <v>53508</v>
      </c>
      <c r="I81" s="20">
        <f t="shared" si="41"/>
        <v>53508</v>
      </c>
      <c r="J81" s="20">
        <f t="shared" si="41"/>
        <v>53508</v>
      </c>
    </row>
    <row r="82" spans="1:10" ht="15" x14ac:dyDescent="0.25">
      <c r="A82" s="11" t="s">
        <v>69</v>
      </c>
      <c r="B82" s="11"/>
      <c r="C82" s="21">
        <f>C78+C80+C81</f>
        <v>302083</v>
      </c>
      <c r="D82" s="21">
        <f t="shared" ref="D82:J82" si="42">D78+D80+D81</f>
        <v>290437</v>
      </c>
      <c r="E82" s="21">
        <f t="shared" si="42"/>
        <v>308030</v>
      </c>
      <c r="F82" s="21">
        <f t="shared" si="42"/>
        <v>285508</v>
      </c>
      <c r="G82" s="21">
        <f t="shared" si="42"/>
        <v>287863.42296547943</v>
      </c>
      <c r="H82" s="21">
        <f t="shared" si="42"/>
        <v>285359.48799157538</v>
      </c>
      <c r="I82" s="21">
        <f t="shared" si="42"/>
        <v>282820.94731914351</v>
      </c>
      <c r="J82" s="21">
        <f t="shared" si="42"/>
        <v>280204.70616105577</v>
      </c>
    </row>
    <row r="83" spans="1:10" ht="15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</row>
    <row r="84" spans="1:10" ht="15" x14ac:dyDescent="0.25">
      <c r="A84" s="3" t="s">
        <v>70</v>
      </c>
      <c r="B84" s="7"/>
      <c r="C84" s="7"/>
      <c r="D84" s="7"/>
      <c r="E84" s="7"/>
      <c r="F84" s="7"/>
      <c r="G84" s="7"/>
      <c r="H84" s="7"/>
      <c r="I84" s="7"/>
      <c r="J84" s="7"/>
    </row>
    <row r="85" spans="1:10" ht="15" x14ac:dyDescent="0.25">
      <c r="A85" s="7" t="s">
        <v>71</v>
      </c>
      <c r="B85" s="7"/>
      <c r="C85" s="19">
        <v>64849</v>
      </c>
      <c r="D85" s="19">
        <v>73812</v>
      </c>
      <c r="E85" s="19">
        <v>83276</v>
      </c>
      <c r="F85" s="19">
        <v>91200</v>
      </c>
      <c r="G85" s="20">
        <f>F85+G28</f>
        <v>104700</v>
      </c>
      <c r="H85" s="20">
        <f t="shared" ref="H85:J85" si="43">G85+H28</f>
        <v>119000</v>
      </c>
      <c r="I85" s="20">
        <f t="shared" si="43"/>
        <v>134100</v>
      </c>
      <c r="J85" s="20">
        <f t="shared" si="43"/>
        <v>150000</v>
      </c>
    </row>
    <row r="86" spans="1:10" ht="15" x14ac:dyDescent="0.25">
      <c r="A86" s="7" t="s">
        <v>72</v>
      </c>
      <c r="B86" s="7"/>
      <c r="C86" s="19">
        <v>-3068</v>
      </c>
      <c r="D86" s="19">
        <v>-214</v>
      </c>
      <c r="E86" s="19">
        <v>-19154</v>
      </c>
      <c r="F86" s="19">
        <v>-16032</v>
      </c>
      <c r="G86" s="20">
        <f>F86+G53-G36*G35-G37</f>
        <v>-5693.2329392000102</v>
      </c>
      <c r="H86" s="20">
        <f t="shared" ref="H86:J86" si="44">G86+H53-H36*H35-H37</f>
        <v>14340.772946848985</v>
      </c>
      <c r="I86" s="20">
        <f t="shared" si="44"/>
        <v>43282.795503297675</v>
      </c>
      <c r="J86" s="20">
        <f t="shared" si="44"/>
        <v>80768.999528089422</v>
      </c>
    </row>
    <row r="87" spans="1:10" ht="15" x14ac:dyDescent="0.25">
      <c r="A87" s="7" t="s">
        <v>73</v>
      </c>
      <c r="B87" s="7"/>
      <c r="C87" s="19">
        <v>-11109</v>
      </c>
      <c r="D87" s="19">
        <v>-11452</v>
      </c>
      <c r="E87" s="19">
        <v>-7172</v>
      </c>
      <c r="F87" s="19">
        <v>-1435</v>
      </c>
      <c r="G87" s="20">
        <f>F87</f>
        <v>-1435</v>
      </c>
      <c r="H87" s="20">
        <f t="shared" ref="H87:J87" si="45">G87</f>
        <v>-1435</v>
      </c>
      <c r="I87" s="20">
        <f t="shared" si="45"/>
        <v>-1435</v>
      </c>
      <c r="J87" s="20">
        <f t="shared" si="45"/>
        <v>-1435</v>
      </c>
    </row>
    <row r="88" spans="1:10" ht="15" x14ac:dyDescent="0.25">
      <c r="A88" s="11" t="s">
        <v>74</v>
      </c>
      <c r="B88" s="11"/>
      <c r="C88" s="21">
        <f>C85+C86+C87</f>
        <v>50672</v>
      </c>
      <c r="D88" s="21">
        <f t="shared" ref="D88:J88" si="46">D85+D86+D87</f>
        <v>62146</v>
      </c>
      <c r="E88" s="21">
        <f t="shared" si="46"/>
        <v>56950</v>
      </c>
      <c r="F88" s="21">
        <f t="shared" si="46"/>
        <v>73733</v>
      </c>
      <c r="G88" s="21">
        <f t="shared" si="46"/>
        <v>97571.76706079999</v>
      </c>
      <c r="H88" s="21">
        <f t="shared" si="46"/>
        <v>131905.772946849</v>
      </c>
      <c r="I88" s="21">
        <f t="shared" si="46"/>
        <v>175947.79550329768</v>
      </c>
      <c r="J88" s="21">
        <f t="shared" si="46"/>
        <v>229333.99952808942</v>
      </c>
    </row>
    <row r="89" spans="1:10" ht="15.75" thickBot="1" x14ac:dyDescent="0.3">
      <c r="A89" s="14" t="s">
        <v>75</v>
      </c>
      <c r="B89" s="14"/>
      <c r="C89" s="27">
        <f>C82+C88</f>
        <v>352755</v>
      </c>
      <c r="D89" s="27">
        <f t="shared" ref="D89:J89" si="47">D82+D88</f>
        <v>352583</v>
      </c>
      <c r="E89" s="27">
        <f t="shared" si="47"/>
        <v>364980</v>
      </c>
      <c r="F89" s="27">
        <f t="shared" si="47"/>
        <v>359241</v>
      </c>
      <c r="G89" s="27">
        <f t="shared" si="47"/>
        <v>385435.19002627942</v>
      </c>
      <c r="H89" s="27">
        <f t="shared" si="47"/>
        <v>417265.26093842438</v>
      </c>
      <c r="I89" s="27">
        <f t="shared" si="47"/>
        <v>458768.74282244116</v>
      </c>
      <c r="J89" s="27">
        <f t="shared" si="47"/>
        <v>509538.70568914519</v>
      </c>
    </row>
    <row r="90" spans="1:10" ht="15.75" thickTop="1" x14ac:dyDescent="0.25">
      <c r="A90" s="7" t="s">
        <v>76</v>
      </c>
      <c r="B90" s="7"/>
      <c r="C90" s="20">
        <f>C72-C89</f>
        <v>0</v>
      </c>
      <c r="D90" s="20">
        <f t="shared" ref="D90:J90" si="48">D72-D89</f>
        <v>0</v>
      </c>
      <c r="E90" s="20">
        <f t="shared" si="48"/>
        <v>0</v>
      </c>
      <c r="F90" s="20">
        <f t="shared" si="48"/>
        <v>0</v>
      </c>
      <c r="G90" s="20">
        <f t="shared" si="48"/>
        <v>0</v>
      </c>
      <c r="H90" s="20">
        <f t="shared" si="48"/>
        <v>0</v>
      </c>
      <c r="I90" s="20">
        <f t="shared" si="48"/>
        <v>0</v>
      </c>
      <c r="J90" s="20">
        <f t="shared" si="48"/>
        <v>0</v>
      </c>
    </row>
    <row r="91" spans="1:10" ht="15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</row>
    <row r="92" spans="1:10" ht="15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</row>
    <row r="93" spans="1:10" ht="16.5" thickBot="1" x14ac:dyDescent="0.3">
      <c r="A93" s="13" t="s">
        <v>77</v>
      </c>
      <c r="B93" s="13"/>
      <c r="C93" s="13"/>
      <c r="D93" s="13"/>
      <c r="E93" s="13"/>
      <c r="F93" s="13"/>
      <c r="G93" s="13"/>
      <c r="H93" s="13"/>
      <c r="I93" s="13"/>
      <c r="J93" s="13"/>
    </row>
    <row r="94" spans="1:10" ht="15" x14ac:dyDescent="0.25">
      <c r="A94" s="7" t="s">
        <v>46</v>
      </c>
      <c r="B94" s="7"/>
      <c r="C94" s="20">
        <f>C53</f>
        <v>99803</v>
      </c>
      <c r="D94" s="20">
        <f t="shared" ref="D94:J94" si="49">D53</f>
        <v>96995</v>
      </c>
      <c r="E94" s="20">
        <f t="shared" si="49"/>
        <v>93736</v>
      </c>
      <c r="F94" s="20">
        <f t="shared" si="49"/>
        <v>112009</v>
      </c>
      <c r="G94" s="20">
        <f t="shared" si="49"/>
        <v>120256.52706079998</v>
      </c>
      <c r="H94" s="20">
        <f t="shared" si="49"/>
        <v>129983.365886049</v>
      </c>
      <c r="I94" s="20">
        <f t="shared" si="49"/>
        <v>138902.98255644867</v>
      </c>
      <c r="J94" s="20">
        <f t="shared" si="49"/>
        <v>147438.60402479174</v>
      </c>
    </row>
    <row r="95" spans="1:10" ht="15" x14ac:dyDescent="0.25">
      <c r="A95" s="7" t="s">
        <v>78</v>
      </c>
      <c r="B95" s="7"/>
      <c r="C95" s="20">
        <f>C27</f>
        <v>11104</v>
      </c>
      <c r="D95" s="20">
        <f t="shared" ref="D95:J95" si="50">D27</f>
        <v>11519</v>
      </c>
      <c r="E95" s="20">
        <f t="shared" si="50"/>
        <v>11445</v>
      </c>
      <c r="F95" s="20">
        <f t="shared" si="50"/>
        <v>11698</v>
      </c>
      <c r="G95" s="20">
        <f t="shared" si="50"/>
        <v>12200</v>
      </c>
      <c r="H95" s="20">
        <f t="shared" si="50"/>
        <v>12800</v>
      </c>
      <c r="I95" s="20">
        <f t="shared" si="50"/>
        <v>13400</v>
      </c>
      <c r="J95" s="20">
        <f t="shared" si="50"/>
        <v>14000</v>
      </c>
    </row>
    <row r="96" spans="1:10" ht="15" x14ac:dyDescent="0.25">
      <c r="A96" s="7" t="s">
        <v>79</v>
      </c>
      <c r="B96" s="7"/>
      <c r="C96" s="20">
        <f>C28</f>
        <v>9038</v>
      </c>
      <c r="D96" s="20">
        <f t="shared" ref="D96:J96" si="51">D28</f>
        <v>10833</v>
      </c>
      <c r="E96" s="20">
        <f t="shared" si="51"/>
        <v>11688</v>
      </c>
      <c r="F96" s="20">
        <f t="shared" si="51"/>
        <v>12700</v>
      </c>
      <c r="G96" s="20">
        <f t="shared" si="51"/>
        <v>13500</v>
      </c>
      <c r="H96" s="20">
        <f t="shared" si="51"/>
        <v>14300</v>
      </c>
      <c r="I96" s="20">
        <f t="shared" si="51"/>
        <v>15100</v>
      </c>
      <c r="J96" s="20">
        <f t="shared" si="51"/>
        <v>15900</v>
      </c>
    </row>
    <row r="97" spans="1:12" ht="15" x14ac:dyDescent="0.25">
      <c r="A97" s="7" t="s">
        <v>80</v>
      </c>
      <c r="B97" s="7"/>
      <c r="C97" s="19">
        <v>-2776</v>
      </c>
      <c r="D97" s="20">
        <f>-(D65-C65)</f>
        <v>-1324</v>
      </c>
      <c r="E97" s="20">
        <f t="shared" ref="E97:J97" si="52">-(E65-D65)</f>
        <v>-3902</v>
      </c>
      <c r="F97" s="20">
        <f t="shared" si="52"/>
        <v>-2590</v>
      </c>
      <c r="G97" s="20">
        <f t="shared" si="52"/>
        <v>-5443.470027397263</v>
      </c>
      <c r="H97" s="20">
        <f t="shared" si="52"/>
        <v>-1328.8088249315042</v>
      </c>
      <c r="I97" s="20">
        <f t="shared" si="52"/>
        <v>-2483.2777946794595</v>
      </c>
      <c r="J97" s="20">
        <f t="shared" si="52"/>
        <v>-1012.4875684087601</v>
      </c>
    </row>
    <row r="98" spans="1:12" ht="15" x14ac:dyDescent="0.25">
      <c r="A98" s="7" t="s">
        <v>81</v>
      </c>
      <c r="B98" s="7"/>
      <c r="C98" s="19">
        <v>1484</v>
      </c>
      <c r="D98" s="20">
        <f>-(D66-C66)</f>
        <v>-1385</v>
      </c>
      <c r="E98" s="20">
        <f t="shared" ref="E98:J98" si="53">-(E66-D66)</f>
        <v>-955</v>
      </c>
      <c r="F98" s="20">
        <f t="shared" si="53"/>
        <v>1568</v>
      </c>
      <c r="G98" s="20">
        <f t="shared" si="53"/>
        <v>-96.275059726028303</v>
      </c>
      <c r="H98" s="20">
        <f t="shared" si="53"/>
        <v>-309.93759413013777</v>
      </c>
      <c r="I98" s="20">
        <f t="shared" si="53"/>
        <v>-318.53295607245946</v>
      </c>
      <c r="J98" s="20">
        <f t="shared" si="53"/>
        <v>-323.955856576109</v>
      </c>
    </row>
    <row r="99" spans="1:12" ht="15" x14ac:dyDescent="0.25">
      <c r="A99" s="7" t="s">
        <v>82</v>
      </c>
      <c r="B99" s="7"/>
      <c r="C99" s="19">
        <v>9448</v>
      </c>
      <c r="D99" s="20">
        <f>D75-C75</f>
        <v>-1504</v>
      </c>
      <c r="E99" s="20">
        <f t="shared" ref="E99:J99" si="54">E75-D75</f>
        <v>6349</v>
      </c>
      <c r="F99" s="20">
        <f t="shared" si="54"/>
        <v>-3960</v>
      </c>
      <c r="G99" s="20">
        <f t="shared" si="54"/>
        <v>7355.4229654794617</v>
      </c>
      <c r="H99" s="20">
        <f t="shared" si="54"/>
        <v>2496.0650260958937</v>
      </c>
      <c r="I99" s="20">
        <f t="shared" si="54"/>
        <v>2461.4593275681545</v>
      </c>
      <c r="J99" s="20">
        <f t="shared" si="54"/>
        <v>2383.7588419122621</v>
      </c>
    </row>
    <row r="100" spans="1:12" ht="15" x14ac:dyDescent="0.25">
      <c r="A100" s="7" t="s">
        <v>83</v>
      </c>
      <c r="B100" s="7"/>
      <c r="C100" s="19">
        <v>3509</v>
      </c>
      <c r="D100" s="19">
        <v>2119</v>
      </c>
      <c r="E100" s="19">
        <v>15248</v>
      </c>
      <c r="F100" s="19">
        <v>5100</v>
      </c>
      <c r="G100" s="19">
        <v>3000</v>
      </c>
      <c r="H100" s="19">
        <v>3000</v>
      </c>
      <c r="I100" s="19">
        <v>3000</v>
      </c>
      <c r="J100" s="19">
        <v>3000</v>
      </c>
      <c r="L100" t="s">
        <v>184</v>
      </c>
    </row>
    <row r="101" spans="1:12" ht="15" x14ac:dyDescent="0.25">
      <c r="A101" s="11" t="s">
        <v>84</v>
      </c>
      <c r="B101" s="11"/>
      <c r="C101" s="21">
        <f>SUM(C94:C100)</f>
        <v>131610</v>
      </c>
      <c r="D101" s="21">
        <f t="shared" ref="D101:J101" si="55">SUM(D94:D100)</f>
        <v>117253</v>
      </c>
      <c r="E101" s="21">
        <f t="shared" si="55"/>
        <v>133609</v>
      </c>
      <c r="F101" s="21">
        <f t="shared" si="55"/>
        <v>136525</v>
      </c>
      <c r="G101" s="21">
        <f t="shared" si="55"/>
        <v>150772.20493915616</v>
      </c>
      <c r="H101" s="21">
        <f t="shared" si="55"/>
        <v>160940.68449308324</v>
      </c>
      <c r="I101" s="21">
        <f t="shared" si="55"/>
        <v>170062.63113326492</v>
      </c>
      <c r="J101" s="21">
        <f t="shared" si="55"/>
        <v>181385.91944171913</v>
      </c>
    </row>
    <row r="102" spans="1:12" ht="15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</row>
    <row r="103" spans="1:12" ht="15" x14ac:dyDescent="0.25">
      <c r="A103" s="7" t="s">
        <v>85</v>
      </c>
      <c r="B103" s="7"/>
      <c r="C103" s="20">
        <f>-C29</f>
        <v>-10708</v>
      </c>
      <c r="D103" s="20">
        <f t="shared" ref="D103:J103" si="56">-D29</f>
        <v>-11000</v>
      </c>
      <c r="E103" s="20">
        <f t="shared" si="56"/>
        <v>-9447</v>
      </c>
      <c r="F103" s="20">
        <f t="shared" si="56"/>
        <v>-12715</v>
      </c>
      <c r="G103" s="20">
        <f t="shared" si="56"/>
        <v>-14000</v>
      </c>
      <c r="H103" s="20">
        <f t="shared" si="56"/>
        <v>-15000</v>
      </c>
      <c r="I103" s="20">
        <f t="shared" si="56"/>
        <v>-16000</v>
      </c>
      <c r="J103" s="20">
        <f t="shared" si="56"/>
        <v>-17000</v>
      </c>
    </row>
    <row r="104" spans="1:12" ht="15" x14ac:dyDescent="0.25">
      <c r="A104" s="7" t="s">
        <v>86</v>
      </c>
      <c r="B104" s="7"/>
      <c r="C104" s="19">
        <v>-2825</v>
      </c>
      <c r="D104" s="20">
        <f>-(D64-C64)</f>
        <v>-6932</v>
      </c>
      <c r="E104" s="20">
        <f t="shared" ref="E104:J104" si="57">-(E64-D64)</f>
        <v>-3638</v>
      </c>
      <c r="F104" s="20">
        <f t="shared" si="57"/>
        <v>11752</v>
      </c>
      <c r="G104" s="20">
        <f t="shared" si="57"/>
        <v>0</v>
      </c>
      <c r="H104" s="20">
        <f t="shared" si="57"/>
        <v>0</v>
      </c>
      <c r="I104" s="20">
        <f t="shared" si="57"/>
        <v>0</v>
      </c>
      <c r="J104" s="20">
        <f t="shared" si="57"/>
        <v>0</v>
      </c>
    </row>
    <row r="105" spans="1:12" ht="15" x14ac:dyDescent="0.25">
      <c r="A105" s="11" t="s">
        <v>87</v>
      </c>
      <c r="B105" s="11"/>
      <c r="C105" s="21">
        <f>C103+C104</f>
        <v>-13533</v>
      </c>
      <c r="D105" s="21">
        <f t="shared" ref="D105:J105" si="58">D103+D104</f>
        <v>-17932</v>
      </c>
      <c r="E105" s="21">
        <f t="shared" si="58"/>
        <v>-13085</v>
      </c>
      <c r="F105" s="21">
        <f t="shared" si="58"/>
        <v>-963</v>
      </c>
      <c r="G105" s="21">
        <f t="shared" si="58"/>
        <v>-14000</v>
      </c>
      <c r="H105" s="21">
        <f t="shared" si="58"/>
        <v>-15000</v>
      </c>
      <c r="I105" s="21">
        <f t="shared" si="58"/>
        <v>-16000</v>
      </c>
      <c r="J105" s="21">
        <f t="shared" si="58"/>
        <v>-17000</v>
      </c>
    </row>
    <row r="106" spans="1:12" ht="15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</row>
    <row r="107" spans="1:12" ht="15" x14ac:dyDescent="0.25">
      <c r="A107" s="7" t="s">
        <v>88</v>
      </c>
      <c r="B107" s="7"/>
      <c r="C107" s="20">
        <f>-C36*C35</f>
        <v>-14693.4</v>
      </c>
      <c r="D107" s="20">
        <f t="shared" ref="D107:J107" si="59">-D36*D35</f>
        <v>-15022.349999999999</v>
      </c>
      <c r="E107" s="20">
        <f t="shared" si="59"/>
        <v>-15408</v>
      </c>
      <c r="F107" s="20">
        <f t="shared" si="59"/>
        <v>-15012.64</v>
      </c>
      <c r="G107" s="20">
        <f t="shared" si="59"/>
        <v>-14917.76</v>
      </c>
      <c r="H107" s="20">
        <f t="shared" si="59"/>
        <v>-14949.36</v>
      </c>
      <c r="I107" s="20">
        <f t="shared" si="59"/>
        <v>-14960.960000000001</v>
      </c>
      <c r="J107" s="20">
        <f t="shared" si="59"/>
        <v>-14952.4</v>
      </c>
    </row>
    <row r="108" spans="1:12" ht="15" x14ac:dyDescent="0.25">
      <c r="A108" s="7" t="s">
        <v>89</v>
      </c>
      <c r="B108" s="7"/>
      <c r="C108" s="20">
        <f>-C37</f>
        <v>-89402</v>
      </c>
      <c r="D108" s="20">
        <f t="shared" ref="D108:J108" si="60">-D37</f>
        <v>-77550</v>
      </c>
      <c r="E108" s="20">
        <f t="shared" si="60"/>
        <v>-94949</v>
      </c>
      <c r="F108" s="20">
        <f t="shared" si="60"/>
        <v>-89300</v>
      </c>
      <c r="G108" s="20">
        <f t="shared" si="60"/>
        <v>-95000</v>
      </c>
      <c r="H108" s="20">
        <f t="shared" si="60"/>
        <v>-95000</v>
      </c>
      <c r="I108" s="20">
        <f t="shared" si="60"/>
        <v>-95000</v>
      </c>
      <c r="J108" s="20">
        <f t="shared" si="60"/>
        <v>-95000</v>
      </c>
    </row>
    <row r="109" spans="1:12" ht="15" x14ac:dyDescent="0.25">
      <c r="A109" s="7" t="s">
        <v>90</v>
      </c>
      <c r="B109" s="7"/>
      <c r="C109" s="19">
        <v>0</v>
      </c>
      <c r="D109" s="19">
        <v>0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L109" t="s">
        <v>183</v>
      </c>
    </row>
    <row r="110" spans="1:12" ht="15" x14ac:dyDescent="0.25">
      <c r="A110" s="7" t="s">
        <v>91</v>
      </c>
      <c r="B110" s="7"/>
      <c r="C110" s="19">
        <v>-9043</v>
      </c>
      <c r="D110" s="20">
        <f>(D76-C76)+(D80-C80)</f>
        <v>-8981</v>
      </c>
      <c r="E110" s="20">
        <f t="shared" ref="E110:J110" si="61">(E76-D76)+(E80-D80)</f>
        <v>-3563</v>
      </c>
      <c r="F110" s="20">
        <f t="shared" si="61"/>
        <v>-10525</v>
      </c>
      <c r="G110" s="20">
        <f t="shared" si="61"/>
        <v>-5000</v>
      </c>
      <c r="H110" s="20">
        <f t="shared" si="61"/>
        <v>-5000</v>
      </c>
      <c r="I110" s="20">
        <f t="shared" si="61"/>
        <v>-5000</v>
      </c>
      <c r="J110" s="20">
        <f t="shared" si="61"/>
        <v>-5000</v>
      </c>
    </row>
    <row r="111" spans="1:12" ht="15" x14ac:dyDescent="0.25">
      <c r="A111" s="11" t="s">
        <v>92</v>
      </c>
      <c r="B111" s="11"/>
      <c r="C111" s="21">
        <f>SUM(C107:C110)</f>
        <v>-113138.4</v>
      </c>
      <c r="D111" s="21">
        <f t="shared" ref="D111:J111" si="62">SUM(D107:D110)</f>
        <v>-101553.35</v>
      </c>
      <c r="E111" s="21">
        <f t="shared" si="62"/>
        <v>-113920</v>
      </c>
      <c r="F111" s="21">
        <f t="shared" si="62"/>
        <v>-114837.64</v>
      </c>
      <c r="G111" s="21">
        <f t="shared" si="62"/>
        <v>-114917.75999999999</v>
      </c>
      <c r="H111" s="21">
        <f t="shared" si="62"/>
        <v>-114949.36</v>
      </c>
      <c r="I111" s="21">
        <f t="shared" si="62"/>
        <v>-114960.96000000001</v>
      </c>
      <c r="J111" s="21">
        <f t="shared" si="62"/>
        <v>-114952.4</v>
      </c>
    </row>
    <row r="112" spans="1:12" ht="15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</row>
    <row r="113" spans="1:10" ht="15" x14ac:dyDescent="0.25">
      <c r="A113" s="11" t="s">
        <v>93</v>
      </c>
      <c r="B113" s="11"/>
      <c r="C113" s="21">
        <f>C101+C105+C111</f>
        <v>4938.6000000000058</v>
      </c>
      <c r="D113" s="21">
        <f t="shared" ref="D113:J113" si="63">D101+D105+D111</f>
        <v>-2232.3500000000058</v>
      </c>
      <c r="E113" s="21">
        <f t="shared" si="63"/>
        <v>6604</v>
      </c>
      <c r="F113" s="21">
        <f t="shared" si="63"/>
        <v>20724.36</v>
      </c>
      <c r="G113" s="21">
        <f t="shared" si="63"/>
        <v>21854.444939156165</v>
      </c>
      <c r="H113" s="21">
        <f t="shared" si="63"/>
        <v>30991.324493083244</v>
      </c>
      <c r="I113" s="21">
        <f t="shared" si="63"/>
        <v>39101.671133264914</v>
      </c>
      <c r="J113" s="21">
        <f t="shared" si="63"/>
        <v>49433.519441719138</v>
      </c>
    </row>
    <row r="114" spans="1:10" ht="15" x14ac:dyDescent="0.25">
      <c r="A114" s="7" t="s">
        <v>94</v>
      </c>
      <c r="B114" s="7"/>
      <c r="C114" s="19">
        <v>17305</v>
      </c>
      <c r="D114" s="20">
        <f>C115</f>
        <v>22243.600000000006</v>
      </c>
      <c r="E114" s="20">
        <f t="shared" ref="E114:J114" si="64">D115</f>
        <v>20011.25</v>
      </c>
      <c r="F114" s="20">
        <f t="shared" si="64"/>
        <v>26615.25</v>
      </c>
      <c r="G114" s="20">
        <f t="shared" si="64"/>
        <v>47339.61</v>
      </c>
      <c r="H114" s="20">
        <f t="shared" si="64"/>
        <v>69194.054939156165</v>
      </c>
      <c r="I114" s="20">
        <f t="shared" si="64"/>
        <v>100185.37943223941</v>
      </c>
      <c r="J114" s="20">
        <f t="shared" si="64"/>
        <v>139287.05056550432</v>
      </c>
    </row>
    <row r="115" spans="1:10" ht="15.75" thickBot="1" x14ac:dyDescent="0.3">
      <c r="A115" s="14" t="s">
        <v>95</v>
      </c>
      <c r="B115" s="14"/>
      <c r="C115" s="27">
        <f>C114+C113</f>
        <v>22243.600000000006</v>
      </c>
      <c r="D115" s="27">
        <f t="shared" ref="D115:J115" si="65">D114+D113</f>
        <v>20011.25</v>
      </c>
      <c r="E115" s="27">
        <f t="shared" si="65"/>
        <v>26615.25</v>
      </c>
      <c r="F115" s="27">
        <f t="shared" si="65"/>
        <v>47339.61</v>
      </c>
      <c r="G115" s="27">
        <f t="shared" si="65"/>
        <v>69194.054939156165</v>
      </c>
      <c r="H115" s="27">
        <f t="shared" si="65"/>
        <v>100185.37943223941</v>
      </c>
      <c r="I115" s="27">
        <f t="shared" si="65"/>
        <v>139287.05056550432</v>
      </c>
      <c r="J115" s="27">
        <f t="shared" si="65"/>
        <v>188720.57000722346</v>
      </c>
    </row>
    <row r="116" spans="1:10" ht="15.75" thickTop="1" x14ac:dyDescent="0.25">
      <c r="A116" s="7" t="s">
        <v>96</v>
      </c>
      <c r="B116" s="7"/>
      <c r="C116" s="20">
        <f>C115-C63</f>
        <v>-1402.3999999999942</v>
      </c>
      <c r="D116" s="20">
        <f t="shared" ref="D116:J116" si="66">D115-D63</f>
        <v>-9953.75</v>
      </c>
      <c r="E116" s="20">
        <f t="shared" si="66"/>
        <v>-3327.75</v>
      </c>
      <c r="F116" s="20">
        <f t="shared" si="66"/>
        <v>11405.61</v>
      </c>
      <c r="G116" s="20">
        <f t="shared" si="66"/>
        <v>0</v>
      </c>
      <c r="H116" s="20">
        <f t="shared" si="66"/>
        <v>0</v>
      </c>
      <c r="I116" s="20">
        <f t="shared" si="66"/>
        <v>0</v>
      </c>
      <c r="J116" s="20">
        <f t="shared" si="66"/>
        <v>0</v>
      </c>
    </row>
    <row r="117" spans="1:10" ht="15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</row>
    <row r="118" spans="1:10" ht="15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</row>
    <row r="119" spans="1:10" ht="15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</row>
    <row r="120" spans="1:10" ht="15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</row>
    <row r="121" spans="1:10" ht="15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</row>
    <row r="122" spans="1:10" ht="15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</row>
    <row r="123" spans="1:10" ht="15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</row>
    <row r="124" spans="1:10" ht="15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</row>
    <row r="125" spans="1:10" ht="15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</row>
    <row r="126" spans="1:10" ht="15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</row>
    <row r="127" spans="1:10" ht="15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</row>
    <row r="128" spans="1:10" ht="15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</row>
    <row r="129" spans="1:10" ht="15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</row>
    <row r="130" spans="1:10" ht="15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</row>
    <row r="131" spans="1:10" ht="15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</row>
    <row r="132" spans="1:10" ht="15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</row>
    <row r="133" spans="1:10" ht="15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</row>
    <row r="134" spans="1:10" ht="15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</row>
    <row r="135" spans="1:10" ht="15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</row>
    <row r="136" spans="1:10" ht="15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</row>
    <row r="137" spans="1:10" ht="15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</row>
    <row r="138" spans="1:10" ht="15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</row>
    <row r="139" spans="1:10" ht="15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</row>
    <row r="140" spans="1:10" ht="15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</row>
    <row r="141" spans="1:10" ht="15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</row>
    <row r="142" spans="1:10" ht="15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</row>
    <row r="143" spans="1:10" ht="15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</row>
    <row r="144" spans="1:10" ht="15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</row>
    <row r="145" spans="1:10" ht="15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</row>
    <row r="146" spans="1:10" ht="15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</row>
    <row r="147" spans="1:10" ht="15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</row>
    <row r="148" spans="1:10" ht="15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</row>
    <row r="149" spans="1:10" ht="15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</row>
    <row r="150" spans="1:10" ht="15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</row>
    <row r="151" spans="1:10" ht="15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</row>
    <row r="152" spans="1:10" ht="15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</row>
    <row r="153" spans="1:10" ht="15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</row>
    <row r="154" spans="1:10" ht="15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</row>
    <row r="155" spans="1:10" ht="15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</row>
    <row r="156" spans="1:10" ht="15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</row>
    <row r="157" spans="1:10" ht="15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</row>
    <row r="158" spans="1:10" ht="15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</row>
    <row r="159" spans="1:10" ht="15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</row>
    <row r="160" spans="1:10" ht="15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</row>
    <row r="161" spans="1:10" ht="15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</row>
    <row r="162" spans="1:10" ht="15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</row>
    <row r="163" spans="1:10" ht="15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</row>
    <row r="164" spans="1:10" ht="15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</row>
    <row r="165" spans="1:10" ht="15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80A2D-EB12-4A76-8762-A469DB27DE17}">
  <dimension ref="A1:P37"/>
  <sheetViews>
    <sheetView showGridLines="0" workbookViewId="0">
      <selection activeCell="J19" sqref="J19"/>
    </sheetView>
  </sheetViews>
  <sheetFormatPr defaultRowHeight="12.75" x14ac:dyDescent="0.2"/>
  <cols>
    <col min="1" max="1" width="33.5703125" bestFit="1" customWidth="1"/>
    <col min="2" max="2" width="0.5703125" customWidth="1"/>
    <col min="3" max="6" width="7.5703125" bestFit="1" customWidth="1"/>
    <col min="7" max="10" width="8.28515625" bestFit="1" customWidth="1"/>
  </cols>
  <sheetData>
    <row r="1" spans="1:10" ht="15" x14ac:dyDescent="0.25">
      <c r="A1" s="7"/>
      <c r="B1" s="7"/>
      <c r="C1" s="7"/>
      <c r="D1" s="7"/>
      <c r="E1" s="7"/>
      <c r="F1" s="7"/>
      <c r="G1" s="7"/>
      <c r="H1" s="7"/>
      <c r="I1" s="7"/>
      <c r="J1" s="7"/>
    </row>
    <row r="2" spans="1:10" ht="15.75" thickBot="1" x14ac:dyDescent="0.3">
      <c r="A2" s="7"/>
      <c r="B2" s="7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</row>
    <row r="3" spans="1:10" ht="15" x14ac:dyDescent="0.25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ht="15" x14ac:dyDescent="0.25">
      <c r="A4" s="8" t="s">
        <v>97</v>
      </c>
      <c r="B4" s="8"/>
      <c r="C4" s="8"/>
      <c r="D4" s="8"/>
      <c r="E4" s="8"/>
      <c r="F4" s="8"/>
      <c r="G4" s="8"/>
      <c r="H4" s="8"/>
      <c r="I4" s="8"/>
      <c r="J4" s="8"/>
    </row>
    <row r="5" spans="1:10" ht="15" x14ac:dyDescent="0.25">
      <c r="A5" s="7" t="s">
        <v>98</v>
      </c>
      <c r="B5" s="7"/>
      <c r="C5" s="29">
        <f>Model!C76</f>
        <v>21110</v>
      </c>
      <c r="D5" s="29">
        <f>Model!D76</f>
        <v>15807</v>
      </c>
      <c r="E5" s="29">
        <f>Model!E76</f>
        <v>10912</v>
      </c>
      <c r="F5" s="29">
        <f>Model!F76</f>
        <v>11000</v>
      </c>
      <c r="G5" s="29">
        <f>Model!G76</f>
        <v>11000</v>
      </c>
      <c r="H5" s="29">
        <f>Model!H76</f>
        <v>11000</v>
      </c>
      <c r="I5" s="29">
        <f>Model!I76</f>
        <v>11000</v>
      </c>
      <c r="J5" s="29">
        <f>Model!J76</f>
        <v>11000</v>
      </c>
    </row>
    <row r="6" spans="1:10" ht="15" x14ac:dyDescent="0.25">
      <c r="A6" s="7" t="s">
        <v>67</v>
      </c>
      <c r="B6" s="7"/>
      <c r="C6" s="29">
        <f>Model!C80</f>
        <v>98959</v>
      </c>
      <c r="D6" s="29">
        <f>Model!D80</f>
        <v>95281</v>
      </c>
      <c r="E6" s="29">
        <f>Model!E80</f>
        <v>96613</v>
      </c>
      <c r="F6" s="29">
        <f>Model!F80</f>
        <v>86000</v>
      </c>
      <c r="G6" s="29">
        <f>Model!G80</f>
        <v>81000</v>
      </c>
      <c r="H6" s="29">
        <f>Model!H80</f>
        <v>76000</v>
      </c>
      <c r="I6" s="29">
        <f>Model!I80</f>
        <v>71000</v>
      </c>
      <c r="J6" s="29">
        <f>Model!J80</f>
        <v>66000</v>
      </c>
    </row>
    <row r="7" spans="1:10" ht="15" x14ac:dyDescent="0.25">
      <c r="A7" s="11" t="s">
        <v>99</v>
      </c>
      <c r="B7" s="11"/>
      <c r="C7" s="21">
        <f>C5+C6</f>
        <v>120069</v>
      </c>
      <c r="D7" s="21">
        <f t="shared" ref="D7:J7" si="0">D5+D6</f>
        <v>111088</v>
      </c>
      <c r="E7" s="21">
        <f t="shared" si="0"/>
        <v>107525</v>
      </c>
      <c r="F7" s="21">
        <f t="shared" si="0"/>
        <v>97000</v>
      </c>
      <c r="G7" s="21">
        <f t="shared" si="0"/>
        <v>92000</v>
      </c>
      <c r="H7" s="21">
        <f t="shared" si="0"/>
        <v>87000</v>
      </c>
      <c r="I7" s="21">
        <f t="shared" si="0"/>
        <v>82000</v>
      </c>
      <c r="J7" s="21">
        <f t="shared" si="0"/>
        <v>77000</v>
      </c>
    </row>
    <row r="8" spans="1:10" ht="15" x14ac:dyDescent="0.25">
      <c r="A8" s="7"/>
      <c r="B8" s="7"/>
      <c r="C8" s="9"/>
      <c r="D8" s="9"/>
      <c r="E8" s="9"/>
      <c r="F8" s="9"/>
      <c r="G8" s="9"/>
      <c r="H8" s="9"/>
      <c r="I8" s="9"/>
      <c r="J8" s="9"/>
    </row>
    <row r="9" spans="1:10" ht="15" x14ac:dyDescent="0.25">
      <c r="A9" s="7" t="s">
        <v>100</v>
      </c>
      <c r="B9" s="7"/>
      <c r="C9" s="19">
        <v>128169</v>
      </c>
      <c r="D9" s="20">
        <f>C12</f>
        <v>119126</v>
      </c>
      <c r="E9" s="20">
        <f t="shared" ref="E9:J9" si="1">D12</f>
        <v>110145</v>
      </c>
      <c r="F9" s="20">
        <f t="shared" si="1"/>
        <v>106582</v>
      </c>
      <c r="G9" s="20">
        <f t="shared" si="1"/>
        <v>96057</v>
      </c>
      <c r="H9" s="20">
        <f t="shared" si="1"/>
        <v>91057</v>
      </c>
      <c r="I9" s="20">
        <f t="shared" si="1"/>
        <v>86057</v>
      </c>
      <c r="J9" s="20">
        <f t="shared" si="1"/>
        <v>81057</v>
      </c>
    </row>
    <row r="10" spans="1:10" ht="15" x14ac:dyDescent="0.25">
      <c r="A10" s="7" t="s">
        <v>90</v>
      </c>
      <c r="B10" s="7"/>
      <c r="C10" s="29">
        <f>Model!C109</f>
        <v>0</v>
      </c>
      <c r="D10" s="29">
        <f>Model!D109</f>
        <v>0</v>
      </c>
      <c r="E10" s="29">
        <f>Model!E109</f>
        <v>0</v>
      </c>
      <c r="F10" s="29">
        <f>Model!F109</f>
        <v>0</v>
      </c>
      <c r="G10" s="29">
        <f>Model!G109</f>
        <v>0</v>
      </c>
      <c r="H10" s="29">
        <f>Model!H109</f>
        <v>0</v>
      </c>
      <c r="I10" s="29">
        <f>Model!I109</f>
        <v>0</v>
      </c>
      <c r="J10" s="29">
        <f>Model!J109</f>
        <v>0</v>
      </c>
    </row>
    <row r="11" spans="1:10" ht="15" x14ac:dyDescent="0.25">
      <c r="A11" s="7" t="s">
        <v>91</v>
      </c>
      <c r="B11" s="7"/>
      <c r="C11" s="29">
        <f>Model!C110</f>
        <v>-9043</v>
      </c>
      <c r="D11" s="29">
        <f>Model!D110</f>
        <v>-8981</v>
      </c>
      <c r="E11" s="29">
        <f>Model!E110</f>
        <v>-3563</v>
      </c>
      <c r="F11" s="29">
        <f>Model!F110</f>
        <v>-10525</v>
      </c>
      <c r="G11" s="29">
        <f>Model!G110</f>
        <v>-5000</v>
      </c>
      <c r="H11" s="29">
        <f>Model!H110</f>
        <v>-5000</v>
      </c>
      <c r="I11" s="29">
        <f>Model!I110</f>
        <v>-5000</v>
      </c>
      <c r="J11" s="29">
        <f>Model!J110</f>
        <v>-5000</v>
      </c>
    </row>
    <row r="12" spans="1:10" ht="15" x14ac:dyDescent="0.25">
      <c r="A12" s="11" t="s">
        <v>101</v>
      </c>
      <c r="B12" s="11"/>
      <c r="C12" s="21">
        <f>C9+C10+C11</f>
        <v>119126</v>
      </c>
      <c r="D12" s="21">
        <f t="shared" ref="D12:J12" si="2">D9+D10+D11</f>
        <v>110145</v>
      </c>
      <c r="E12" s="21">
        <f t="shared" si="2"/>
        <v>106582</v>
      </c>
      <c r="F12" s="21">
        <f t="shared" si="2"/>
        <v>96057</v>
      </c>
      <c r="G12" s="21">
        <f t="shared" si="2"/>
        <v>91057</v>
      </c>
      <c r="H12" s="21">
        <f t="shared" si="2"/>
        <v>86057</v>
      </c>
      <c r="I12" s="21">
        <f t="shared" si="2"/>
        <v>81057</v>
      </c>
      <c r="J12" s="21">
        <f t="shared" si="2"/>
        <v>76057</v>
      </c>
    </row>
    <row r="13" spans="1:10" ht="1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10" ht="15" x14ac:dyDescent="0.25">
      <c r="A14" s="7" t="s">
        <v>102</v>
      </c>
      <c r="B14" s="7"/>
      <c r="C14" s="23">
        <v>2.8000000000000001E-2</v>
      </c>
      <c r="D14" s="23">
        <v>2.8000000000000001E-2</v>
      </c>
      <c r="E14" s="23">
        <v>0.03</v>
      </c>
      <c r="F14" s="23">
        <v>3.2000000000000001E-2</v>
      </c>
      <c r="G14" s="23">
        <v>3.3000000000000002E-2</v>
      </c>
      <c r="H14" s="23">
        <v>3.4000000000000002E-2</v>
      </c>
      <c r="I14" s="23">
        <v>3.5000000000000003E-2</v>
      </c>
      <c r="J14" s="23">
        <v>3.5999999999999997E-2</v>
      </c>
    </row>
    <row r="15" spans="1:10" ht="15" x14ac:dyDescent="0.25">
      <c r="A15" s="7" t="s">
        <v>103</v>
      </c>
      <c r="B15" s="7"/>
      <c r="C15" s="20">
        <f>-(C7+C9)/2*C14</f>
        <v>-3475.3319999999999</v>
      </c>
      <c r="D15" s="20">
        <f t="shared" ref="D15:J15" si="3">-(D7+D9)/2*D14</f>
        <v>-3222.9960000000001</v>
      </c>
      <c r="E15" s="20">
        <f t="shared" si="3"/>
        <v>-3265.0499999999997</v>
      </c>
      <c r="F15" s="20">
        <f t="shared" si="3"/>
        <v>-3257.3119999999999</v>
      </c>
      <c r="G15" s="20">
        <f t="shared" si="3"/>
        <v>-3102.9405000000002</v>
      </c>
      <c r="H15" s="20">
        <f t="shared" si="3"/>
        <v>-3026.9690000000001</v>
      </c>
      <c r="I15" s="20">
        <f t="shared" si="3"/>
        <v>-2940.9975000000004</v>
      </c>
      <c r="J15" s="20">
        <f t="shared" si="3"/>
        <v>-2845.0259999999998</v>
      </c>
    </row>
    <row r="16" spans="1:10" ht="15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6" ht="15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6" ht="15" x14ac:dyDescent="0.25">
      <c r="A18" s="8" t="s">
        <v>104</v>
      </c>
      <c r="B18" s="8"/>
      <c r="C18" s="8"/>
      <c r="D18" s="8"/>
      <c r="E18" s="8"/>
      <c r="F18" s="8"/>
      <c r="G18" s="8"/>
      <c r="H18" s="8"/>
      <c r="I18" s="8"/>
      <c r="J18" s="8"/>
    </row>
    <row r="19" spans="1:16" ht="15" x14ac:dyDescent="0.25">
      <c r="A19" s="7" t="s">
        <v>105</v>
      </c>
      <c r="B19" s="7"/>
      <c r="C19" s="31">
        <v>39440</v>
      </c>
      <c r="D19" s="20">
        <f>C22</f>
        <v>39044</v>
      </c>
      <c r="E19" s="20">
        <f t="shared" ref="E19:J19" si="4">D22</f>
        <v>38525</v>
      </c>
      <c r="F19" s="20">
        <f t="shared" si="4"/>
        <v>36527</v>
      </c>
      <c r="G19" s="20">
        <f t="shared" si="4"/>
        <v>37544</v>
      </c>
      <c r="H19" s="20">
        <f t="shared" si="4"/>
        <v>39344</v>
      </c>
      <c r="I19" s="20">
        <f t="shared" si="4"/>
        <v>41544</v>
      </c>
      <c r="J19" s="20">
        <f t="shared" si="4"/>
        <v>44144</v>
      </c>
    </row>
    <row r="20" spans="1:16" ht="15" x14ac:dyDescent="0.25">
      <c r="A20" s="7" t="s">
        <v>85</v>
      </c>
      <c r="B20" s="7"/>
      <c r="C20" s="29">
        <f>Model!C29</f>
        <v>10708</v>
      </c>
      <c r="D20" s="29">
        <f>Model!D29</f>
        <v>11000</v>
      </c>
      <c r="E20" s="29">
        <f>Model!E29</f>
        <v>9447</v>
      </c>
      <c r="F20" s="29">
        <f>Model!F29</f>
        <v>12715</v>
      </c>
      <c r="G20" s="29">
        <f>Model!G29</f>
        <v>14000</v>
      </c>
      <c r="H20" s="29">
        <f>Model!H29</f>
        <v>15000</v>
      </c>
      <c r="I20" s="29">
        <f>Model!I29</f>
        <v>16000</v>
      </c>
      <c r="J20" s="29">
        <f>Model!J29</f>
        <v>17000</v>
      </c>
    </row>
    <row r="21" spans="1:16" ht="15" x14ac:dyDescent="0.25">
      <c r="A21" s="7" t="s">
        <v>78</v>
      </c>
      <c r="B21" s="7"/>
      <c r="C21" s="29">
        <f>-Model!C27</f>
        <v>-11104</v>
      </c>
      <c r="D21" s="29">
        <f>-Model!D27</f>
        <v>-11519</v>
      </c>
      <c r="E21" s="29">
        <f>-Model!E27</f>
        <v>-11445</v>
      </c>
      <c r="F21" s="29">
        <f>-Model!F27</f>
        <v>-11698</v>
      </c>
      <c r="G21" s="29">
        <f>-Model!G27</f>
        <v>-12200</v>
      </c>
      <c r="H21" s="29">
        <f>-Model!H27</f>
        <v>-12800</v>
      </c>
      <c r="I21" s="29">
        <f>-Model!I27</f>
        <v>-13400</v>
      </c>
      <c r="J21" s="29">
        <f>-Model!J27</f>
        <v>-14000</v>
      </c>
    </row>
    <row r="22" spans="1:16" ht="15" x14ac:dyDescent="0.25">
      <c r="A22" s="11" t="s">
        <v>106</v>
      </c>
      <c r="B22" s="11"/>
      <c r="C22" s="21">
        <f>C19+C20+C21</f>
        <v>39044</v>
      </c>
      <c r="D22" s="21">
        <f t="shared" ref="D22:J22" si="5">D19+D20+D21</f>
        <v>38525</v>
      </c>
      <c r="E22" s="21">
        <f t="shared" si="5"/>
        <v>36527</v>
      </c>
      <c r="F22" s="21">
        <f t="shared" si="5"/>
        <v>37544</v>
      </c>
      <c r="G22" s="21">
        <f t="shared" si="5"/>
        <v>39344</v>
      </c>
      <c r="H22" s="21">
        <f t="shared" si="5"/>
        <v>41544</v>
      </c>
      <c r="I22" s="21">
        <f t="shared" si="5"/>
        <v>44144</v>
      </c>
      <c r="J22" s="21">
        <f t="shared" si="5"/>
        <v>47144</v>
      </c>
      <c r="P22">
        <f>12350+78328</f>
        <v>90678</v>
      </c>
    </row>
    <row r="23" spans="1:16" ht="1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P23">
        <f>P22+7979</f>
        <v>98657</v>
      </c>
    </row>
    <row r="24" spans="1:16" ht="15" x14ac:dyDescent="0.25">
      <c r="A24" s="7" t="s">
        <v>107</v>
      </c>
      <c r="B24" s="7"/>
      <c r="C24" s="30">
        <f>C20/Model!C41</f>
        <v>2.7155058732831552E-2</v>
      </c>
      <c r="D24" s="30">
        <f>D20/Model!D41</f>
        <v>2.8699270777619787E-2</v>
      </c>
      <c r="E24" s="30">
        <f>E20/Model!E41</f>
        <v>2.415896275269477E-2</v>
      </c>
      <c r="F24" s="30">
        <f>F20/Model!F41</f>
        <v>3.0553079216937677E-2</v>
      </c>
      <c r="G24" s="30">
        <f>G20/Model!G41</f>
        <v>3.1467191047925787E-2</v>
      </c>
      <c r="H24" s="30">
        <f>H20/Model!H41</f>
        <v>3.1706619800263611E-2</v>
      </c>
      <c r="I24" s="30">
        <f>I20/Model!I41</f>
        <v>3.1964590641299383E-2</v>
      </c>
      <c r="J24" s="30">
        <f>J20/Model!J41</f>
        <v>3.2212534248583807E-2</v>
      </c>
    </row>
    <row r="25" spans="1:16" ht="15" x14ac:dyDescent="0.25">
      <c r="A25" s="7" t="s">
        <v>108</v>
      </c>
      <c r="B25" s="7"/>
      <c r="C25" s="30">
        <f>-C21/Model!C41</f>
        <v>2.8159298857803657E-2</v>
      </c>
      <c r="D25" s="30">
        <f>-D21/Model!D41</f>
        <v>3.0053354553400212E-2</v>
      </c>
      <c r="E25" s="30">
        <f>-E21/Model!E41</f>
        <v>2.9268479803598143E-2</v>
      </c>
      <c r="F25" s="30">
        <f>-F21/Model!F41</f>
        <v>2.8109313462818475E-2</v>
      </c>
      <c r="G25" s="30">
        <f>-G21/Model!G41</f>
        <v>2.7421409341763903E-2</v>
      </c>
      <c r="H25" s="30">
        <f>-H21/Model!H41</f>
        <v>2.7056315562891613E-2</v>
      </c>
      <c r="I25" s="30">
        <f>-I21/Model!I41</f>
        <v>2.6770344662088236E-2</v>
      </c>
      <c r="J25" s="30">
        <f>-J21/Model!J41</f>
        <v>2.6527969381186664E-2</v>
      </c>
    </row>
    <row r="26" spans="1:16" ht="15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6" ht="15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6" ht="15" x14ac:dyDescent="0.25">
      <c r="A28" s="8" t="s">
        <v>109</v>
      </c>
      <c r="B28" s="8"/>
      <c r="C28" s="8"/>
      <c r="D28" s="8"/>
      <c r="E28" s="8"/>
      <c r="F28" s="8"/>
      <c r="G28" s="8"/>
      <c r="H28" s="8"/>
      <c r="I28" s="8"/>
      <c r="J28" s="8"/>
    </row>
    <row r="29" spans="1:16" ht="15" x14ac:dyDescent="0.25">
      <c r="A29" s="7" t="s">
        <v>55</v>
      </c>
      <c r="B29" s="7"/>
      <c r="C29" s="29">
        <f>Model!C65</f>
        <v>28184</v>
      </c>
      <c r="D29" s="29">
        <f>Model!D65</f>
        <v>29508</v>
      </c>
      <c r="E29" s="29">
        <f>Model!E65</f>
        <v>33410</v>
      </c>
      <c r="F29" s="29">
        <f>Model!F65</f>
        <v>36000</v>
      </c>
      <c r="G29" s="29">
        <f>Model!G65</f>
        <v>41443.470027397263</v>
      </c>
      <c r="H29" s="29">
        <f>Model!H65</f>
        <v>42772.278852328767</v>
      </c>
      <c r="I29" s="29">
        <f>Model!I65</f>
        <v>45255.556647008227</v>
      </c>
      <c r="J29" s="29">
        <f>Model!J65</f>
        <v>46268.044215416987</v>
      </c>
    </row>
    <row r="30" spans="1:16" ht="15" x14ac:dyDescent="0.25">
      <c r="A30" s="7" t="s">
        <v>56</v>
      </c>
      <c r="B30" s="7"/>
      <c r="C30" s="29">
        <f>Model!C66</f>
        <v>4946</v>
      </c>
      <c r="D30" s="29">
        <f>Model!D66</f>
        <v>6331</v>
      </c>
      <c r="E30" s="29">
        <f>Model!E66</f>
        <v>7286</v>
      </c>
      <c r="F30" s="29">
        <f>Model!F66</f>
        <v>5718</v>
      </c>
      <c r="G30" s="29">
        <f>Model!G66</f>
        <v>5814.2750597260283</v>
      </c>
      <c r="H30" s="29">
        <f>Model!H66</f>
        <v>6124.2126538561661</v>
      </c>
      <c r="I30" s="29">
        <f>Model!I66</f>
        <v>6442.7456099286255</v>
      </c>
      <c r="J30" s="29">
        <f>Model!J66</f>
        <v>6766.7014665047345</v>
      </c>
    </row>
    <row r="31" spans="1:16" ht="15" x14ac:dyDescent="0.25">
      <c r="A31" s="7" t="s">
        <v>63</v>
      </c>
      <c r="B31" s="7"/>
      <c r="C31" s="29">
        <f>Model!C75</f>
        <v>64115</v>
      </c>
      <c r="D31" s="29">
        <f>Model!D75</f>
        <v>62611</v>
      </c>
      <c r="E31" s="29">
        <f>Model!E75</f>
        <v>68960</v>
      </c>
      <c r="F31" s="29">
        <f>Model!F75</f>
        <v>65000</v>
      </c>
      <c r="G31" s="29">
        <f>Model!G75</f>
        <v>72355.422965479462</v>
      </c>
      <c r="H31" s="29">
        <f>Model!H75</f>
        <v>74851.487991575355</v>
      </c>
      <c r="I31" s="29">
        <f>Model!I75</f>
        <v>77312.94731914351</v>
      </c>
      <c r="J31" s="29">
        <f>Model!J75</f>
        <v>79696.706161055772</v>
      </c>
    </row>
    <row r="32" spans="1:16" ht="15" x14ac:dyDescent="0.25">
      <c r="A32" s="11" t="s">
        <v>110</v>
      </c>
      <c r="B32" s="11"/>
      <c r="C32" s="21">
        <f>C29+C30-C31</f>
        <v>-30985</v>
      </c>
      <c r="D32" s="21">
        <f t="shared" ref="D32:J32" si="6">D29+D30-D31</f>
        <v>-26772</v>
      </c>
      <c r="E32" s="21">
        <f t="shared" si="6"/>
        <v>-28264</v>
      </c>
      <c r="F32" s="21">
        <f t="shared" si="6"/>
        <v>-23282</v>
      </c>
      <c r="G32" s="21">
        <f t="shared" si="6"/>
        <v>-25097.677878356168</v>
      </c>
      <c r="H32" s="21">
        <f t="shared" si="6"/>
        <v>-25954.996485390424</v>
      </c>
      <c r="I32" s="21">
        <f t="shared" si="6"/>
        <v>-25614.645062206655</v>
      </c>
      <c r="J32" s="21">
        <f t="shared" si="6"/>
        <v>-26661.960479134053</v>
      </c>
    </row>
    <row r="33" spans="1:10" ht="1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spans="1:10" ht="15" x14ac:dyDescent="0.25">
      <c r="A34" s="7" t="s">
        <v>111</v>
      </c>
      <c r="B34" s="7"/>
      <c r="C34" s="29">
        <f>Model!C32</f>
        <v>26</v>
      </c>
      <c r="D34" s="29">
        <f>Model!D32</f>
        <v>28</v>
      </c>
      <c r="E34" s="29">
        <f>Model!E32</f>
        <v>31</v>
      </c>
      <c r="F34" s="29">
        <f>Model!F32</f>
        <v>35</v>
      </c>
      <c r="G34" s="29">
        <f>Model!G32</f>
        <v>34</v>
      </c>
      <c r="H34" s="29">
        <f>Model!H32</f>
        <v>33</v>
      </c>
      <c r="I34" s="29">
        <f>Model!I32</f>
        <v>33</v>
      </c>
      <c r="J34" s="29">
        <f>Model!J32</f>
        <v>32</v>
      </c>
    </row>
    <row r="35" spans="1:10" ht="15" x14ac:dyDescent="0.25">
      <c r="A35" s="7" t="s">
        <v>112</v>
      </c>
      <c r="B35" s="7"/>
      <c r="C35" s="29">
        <f>Model!C33</f>
        <v>8</v>
      </c>
      <c r="D35" s="29">
        <f>Model!D33</f>
        <v>11</v>
      </c>
      <c r="E35" s="29">
        <f>Model!E33</f>
        <v>13</v>
      </c>
      <c r="F35" s="29">
        <f>Model!F33</f>
        <v>9</v>
      </c>
      <c r="G35" s="29">
        <f>Model!G33</f>
        <v>9</v>
      </c>
      <c r="H35" s="29">
        <f>Model!H33</f>
        <v>9</v>
      </c>
      <c r="I35" s="29">
        <f>Model!I33</f>
        <v>9</v>
      </c>
      <c r="J35" s="29">
        <f>Model!J33</f>
        <v>9</v>
      </c>
    </row>
    <row r="36" spans="1:10" ht="15" x14ac:dyDescent="0.25">
      <c r="A36" s="7" t="s">
        <v>113</v>
      </c>
      <c r="B36" s="7"/>
      <c r="C36" s="29">
        <f>Model!C34</f>
        <v>105</v>
      </c>
      <c r="D36" s="29">
        <f>Model!D34</f>
        <v>106</v>
      </c>
      <c r="E36" s="29">
        <f>Model!E34</f>
        <v>120</v>
      </c>
      <c r="F36" s="29">
        <f>Model!F34</f>
        <v>115</v>
      </c>
      <c r="G36" s="29">
        <f>Model!G34</f>
        <v>112</v>
      </c>
      <c r="H36" s="29">
        <f>Model!H34</f>
        <v>110</v>
      </c>
      <c r="I36" s="29">
        <f>Model!I34</f>
        <v>108</v>
      </c>
      <c r="J36" s="29">
        <f>Model!J34</f>
        <v>106</v>
      </c>
    </row>
    <row r="37" spans="1:10" ht="15" x14ac:dyDescent="0.25">
      <c r="A37" s="11" t="s">
        <v>114</v>
      </c>
      <c r="B37" s="11"/>
      <c r="C37" s="21">
        <f>C34+C35-C36</f>
        <v>-71</v>
      </c>
      <c r="D37" s="21">
        <f t="shared" ref="D37:J37" si="7">D34+D35-D36</f>
        <v>-67</v>
      </c>
      <c r="E37" s="21">
        <f t="shared" si="7"/>
        <v>-76</v>
      </c>
      <c r="F37" s="21">
        <f t="shared" si="7"/>
        <v>-71</v>
      </c>
      <c r="G37" s="21">
        <f t="shared" si="7"/>
        <v>-69</v>
      </c>
      <c r="H37" s="21">
        <f t="shared" si="7"/>
        <v>-68</v>
      </c>
      <c r="I37" s="21">
        <f t="shared" si="7"/>
        <v>-66</v>
      </c>
      <c r="J37" s="21">
        <f t="shared" si="7"/>
        <v>-65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12529-04C2-4F67-B8E3-32625DA46C8B}">
  <dimension ref="B2:E31"/>
  <sheetViews>
    <sheetView showGridLines="0" workbookViewId="0">
      <selection activeCell="B26" sqref="B26"/>
    </sheetView>
  </sheetViews>
  <sheetFormatPr defaultRowHeight="12.75" x14ac:dyDescent="0.2"/>
  <cols>
    <col min="1" max="1" width="1" customWidth="1"/>
    <col min="2" max="2" width="89.85546875" bestFit="1" customWidth="1"/>
    <col min="3" max="3" width="15.85546875" bestFit="1" customWidth="1"/>
    <col min="4" max="4" width="40.28515625" bestFit="1" customWidth="1"/>
    <col min="5" max="5" width="84.28515625" bestFit="1" customWidth="1"/>
  </cols>
  <sheetData>
    <row r="2" spans="2:5" ht="19.5" thickBot="1" x14ac:dyDescent="0.35">
      <c r="B2" s="15" t="s">
        <v>115</v>
      </c>
      <c r="C2" s="15"/>
      <c r="D2" s="15"/>
      <c r="E2" s="15"/>
    </row>
    <row r="4" spans="2:5" ht="15" x14ac:dyDescent="0.25">
      <c r="B4" s="16" t="s">
        <v>116</v>
      </c>
      <c r="C4" s="16" t="s">
        <v>117</v>
      </c>
      <c r="D4" s="16" t="s">
        <v>118</v>
      </c>
      <c r="E4" s="16" t="s">
        <v>119</v>
      </c>
    </row>
    <row r="5" spans="2:5" ht="15" x14ac:dyDescent="0.25">
      <c r="B5" s="7" t="s">
        <v>120</v>
      </c>
      <c r="C5" s="7" t="s">
        <v>121</v>
      </c>
      <c r="D5" s="7" t="s">
        <v>122</v>
      </c>
      <c r="E5" s="7" t="s">
        <v>123</v>
      </c>
    </row>
    <row r="6" spans="2:5" ht="15" x14ac:dyDescent="0.25">
      <c r="B6" s="7" t="s">
        <v>124</v>
      </c>
      <c r="C6" s="7" t="s">
        <v>121</v>
      </c>
      <c r="D6" s="7" t="s">
        <v>125</v>
      </c>
      <c r="E6" s="7" t="s">
        <v>126</v>
      </c>
    </row>
    <row r="7" spans="2:5" ht="15" x14ac:dyDescent="0.25">
      <c r="B7" s="7" t="s">
        <v>127</v>
      </c>
      <c r="C7" s="7" t="s">
        <v>121</v>
      </c>
      <c r="D7" s="7" t="s">
        <v>125</v>
      </c>
      <c r="E7" s="7" t="s">
        <v>128</v>
      </c>
    </row>
    <row r="8" spans="2:5" ht="15" x14ac:dyDescent="0.25">
      <c r="B8" s="7" t="s">
        <v>129</v>
      </c>
      <c r="C8" s="7" t="s">
        <v>121</v>
      </c>
      <c r="D8" s="7" t="s">
        <v>125</v>
      </c>
      <c r="E8" s="7" t="s">
        <v>130</v>
      </c>
    </row>
    <row r="9" spans="2:5" ht="15" x14ac:dyDescent="0.25">
      <c r="B9" s="7" t="s">
        <v>131</v>
      </c>
      <c r="C9" s="7" t="s">
        <v>121</v>
      </c>
      <c r="D9" s="7" t="s">
        <v>125</v>
      </c>
      <c r="E9" s="7" t="s">
        <v>132</v>
      </c>
    </row>
    <row r="10" spans="2:5" ht="15" x14ac:dyDescent="0.25">
      <c r="B10" s="7" t="s">
        <v>133</v>
      </c>
      <c r="C10" s="7" t="s">
        <v>121</v>
      </c>
      <c r="D10" s="7" t="s">
        <v>134</v>
      </c>
      <c r="E10" s="7" t="s">
        <v>135</v>
      </c>
    </row>
    <row r="11" spans="2:5" ht="15" x14ac:dyDescent="0.25">
      <c r="B11" s="7" t="s">
        <v>136</v>
      </c>
      <c r="C11" s="7" t="s">
        <v>121</v>
      </c>
      <c r="D11" s="7" t="s">
        <v>137</v>
      </c>
      <c r="E11" s="7" t="s">
        <v>138</v>
      </c>
    </row>
    <row r="12" spans="2:5" ht="15" x14ac:dyDescent="0.25">
      <c r="B12" s="7" t="s">
        <v>89</v>
      </c>
      <c r="C12" s="7" t="s">
        <v>121</v>
      </c>
      <c r="D12" s="7" t="s">
        <v>125</v>
      </c>
      <c r="E12" s="7" t="s">
        <v>139</v>
      </c>
    </row>
    <row r="13" spans="2:5" ht="15" x14ac:dyDescent="0.25">
      <c r="B13" s="17"/>
      <c r="C13" s="17"/>
      <c r="D13" s="17"/>
      <c r="E13" s="17"/>
    </row>
    <row r="14" spans="2:5" ht="15" x14ac:dyDescent="0.25">
      <c r="B14" s="7" t="s">
        <v>140</v>
      </c>
      <c r="C14" s="7" t="s">
        <v>141</v>
      </c>
      <c r="D14" s="7" t="s">
        <v>142</v>
      </c>
      <c r="E14" s="7" t="s">
        <v>143</v>
      </c>
    </row>
    <row r="15" spans="2:5" ht="15" x14ac:dyDescent="0.25">
      <c r="B15" s="7" t="s">
        <v>144</v>
      </c>
      <c r="C15" s="7" t="s">
        <v>141</v>
      </c>
      <c r="D15" s="7" t="s">
        <v>145</v>
      </c>
      <c r="E15" s="7" t="s">
        <v>146</v>
      </c>
    </row>
    <row r="16" spans="2:5" ht="15" x14ac:dyDescent="0.25">
      <c r="B16" s="7" t="s">
        <v>147</v>
      </c>
      <c r="C16" s="7" t="s">
        <v>141</v>
      </c>
      <c r="D16" s="7" t="s">
        <v>148</v>
      </c>
      <c r="E16" s="7" t="s">
        <v>149</v>
      </c>
    </row>
    <row r="17" spans="2:5" ht="15" x14ac:dyDescent="0.25">
      <c r="B17" s="7" t="s">
        <v>150</v>
      </c>
      <c r="C17" s="7" t="s">
        <v>141</v>
      </c>
      <c r="D17" s="7" t="s">
        <v>151</v>
      </c>
      <c r="E17" s="7" t="s">
        <v>152</v>
      </c>
    </row>
    <row r="18" spans="2:5" ht="15" x14ac:dyDescent="0.25">
      <c r="B18" s="7" t="s">
        <v>153</v>
      </c>
      <c r="C18" s="7" t="s">
        <v>141</v>
      </c>
      <c r="D18" s="7" t="s">
        <v>154</v>
      </c>
      <c r="E18" s="7" t="s">
        <v>155</v>
      </c>
    </row>
    <row r="19" spans="2:5" ht="15" x14ac:dyDescent="0.25">
      <c r="B19" s="7" t="s">
        <v>156</v>
      </c>
      <c r="C19" s="7" t="s">
        <v>141</v>
      </c>
      <c r="D19" s="7" t="s">
        <v>157</v>
      </c>
      <c r="E19" s="7" t="s">
        <v>158</v>
      </c>
    </row>
    <row r="20" spans="2:5" ht="15" x14ac:dyDescent="0.25">
      <c r="B20" s="7" t="s">
        <v>159</v>
      </c>
      <c r="C20" s="7" t="s">
        <v>141</v>
      </c>
      <c r="D20" s="7" t="s">
        <v>160</v>
      </c>
      <c r="E20" s="7" t="s">
        <v>161</v>
      </c>
    </row>
    <row r="21" spans="2:5" ht="15" x14ac:dyDescent="0.25">
      <c r="B21" s="7" t="s">
        <v>162</v>
      </c>
      <c r="C21" s="7" t="s">
        <v>141</v>
      </c>
      <c r="D21" s="7" t="s">
        <v>160</v>
      </c>
      <c r="E21" s="7" t="s">
        <v>163</v>
      </c>
    </row>
    <row r="22" spans="2:5" ht="15" x14ac:dyDescent="0.25">
      <c r="B22" s="7" t="s">
        <v>164</v>
      </c>
      <c r="C22" s="7" t="s">
        <v>141</v>
      </c>
      <c r="D22" s="7" t="s">
        <v>165</v>
      </c>
      <c r="E22" s="7" t="s">
        <v>166</v>
      </c>
    </row>
    <row r="24" spans="2:5" ht="15.75" x14ac:dyDescent="0.25">
      <c r="B24" s="4" t="s">
        <v>167</v>
      </c>
      <c r="C24" s="4"/>
      <c r="D24" s="4"/>
      <c r="E24" s="4"/>
    </row>
    <row r="25" spans="2:5" ht="15" x14ac:dyDescent="0.25">
      <c r="B25" s="18" t="s">
        <v>168</v>
      </c>
    </row>
    <row r="26" spans="2:5" ht="15" x14ac:dyDescent="0.25">
      <c r="B26" s="18" t="s">
        <v>169</v>
      </c>
    </row>
    <row r="27" spans="2:5" ht="15" x14ac:dyDescent="0.25">
      <c r="B27" s="18" t="s">
        <v>170</v>
      </c>
    </row>
    <row r="28" spans="2:5" ht="15" x14ac:dyDescent="0.25">
      <c r="B28" s="18" t="s">
        <v>171</v>
      </c>
    </row>
    <row r="29" spans="2:5" ht="15" x14ac:dyDescent="0.25">
      <c r="B29" s="18" t="s">
        <v>172</v>
      </c>
    </row>
    <row r="30" spans="2:5" ht="15" x14ac:dyDescent="0.25">
      <c r="B30" s="18" t="s">
        <v>173</v>
      </c>
    </row>
    <row r="31" spans="2:5" ht="15" x14ac:dyDescent="0.25">
      <c r="B31" s="18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</vt:lpstr>
      <vt:lpstr>Schedules</vt:lpstr>
      <vt:lpstr>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 Street Prep</dc:creator>
  <cp:lastModifiedBy>Wall Street Prep</cp:lastModifiedBy>
  <dcterms:created xsi:type="dcterms:W3CDTF">2026-02-06T15:23:22Z</dcterms:created>
  <dcterms:modified xsi:type="dcterms:W3CDTF">2026-02-11T13:24:07Z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hortcut_file_id">
    <vt:lpwstr>b211cc5d-4f09-492c-934e-4bdaaf018fd5</vt:lpwstr>
  </property>
</Properties>
</file>