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feld\Wall Street Prep Dropbox\Matan Feldman\Marketing\AI Tools Ranking\"/>
    </mc:Choice>
  </mc:AlternateContent>
  <xr:revisionPtr revIDLastSave="0" documentId="8_{145D7670-E932-44AA-A984-CB4599E22D9D}" xr6:coauthVersionLast="47" xr6:coauthVersionMax="47" xr10:uidLastSave="{00000000-0000-0000-0000-000000000000}"/>
  <bookViews>
    <workbookView xWindow="-28920" yWindow="-120" windowWidth="29040" windowHeight="15840" activeTab="1" xr2:uid="{54DD6F16-1162-4E95-A35C-8D2027534095}"/>
  </bookViews>
  <sheets>
    <sheet name="Model" sheetId="1" r:id="rId1"/>
    <sheet name="Schedules" sheetId="2" r:id="rId2"/>
    <sheet name="Sources" sheetId="3" r:id="rId3"/>
  </sheet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2" l="1"/>
  <c r="F68" i="1"/>
  <c r="G68" i="1"/>
  <c r="H68" i="1"/>
  <c r="I68" i="1"/>
  <c r="F69" i="1"/>
  <c r="G69" i="1"/>
  <c r="H69" i="1"/>
  <c r="I69" i="1"/>
  <c r="C113" i="1"/>
  <c r="D113" i="1"/>
  <c r="E113" i="1"/>
  <c r="C102" i="1"/>
  <c r="D102" i="1"/>
  <c r="E102" i="1"/>
  <c r="F101" i="1"/>
  <c r="E101" i="1"/>
  <c r="D101" i="1"/>
  <c r="F100" i="1"/>
  <c r="C100" i="1"/>
  <c r="D100" i="1"/>
  <c r="E100" i="1"/>
  <c r="C95" i="1"/>
  <c r="D95" i="1"/>
  <c r="E95" i="1"/>
  <c r="F97" i="1"/>
  <c r="F30" i="2" s="1"/>
  <c r="F31" i="2" s="1"/>
  <c r="F96" i="1"/>
  <c r="G96" i="1"/>
  <c r="H96" i="1"/>
  <c r="I96" i="1"/>
  <c r="F95" i="1"/>
  <c r="F93" i="1"/>
  <c r="G93" i="1"/>
  <c r="H93" i="1"/>
  <c r="I93" i="1"/>
  <c r="F92" i="1"/>
  <c r="I91" i="1"/>
  <c r="H91" i="1"/>
  <c r="G91" i="1"/>
  <c r="F91" i="1"/>
  <c r="I90" i="1"/>
  <c r="H90" i="1"/>
  <c r="G90" i="1"/>
  <c r="F90" i="1"/>
  <c r="I89" i="1"/>
  <c r="H89" i="1"/>
  <c r="G89" i="1"/>
  <c r="F89" i="1"/>
  <c r="I88" i="1"/>
  <c r="H88" i="1"/>
  <c r="G88" i="1"/>
  <c r="F88" i="1"/>
  <c r="I87" i="1"/>
  <c r="H87" i="1"/>
  <c r="G87" i="1"/>
  <c r="F87" i="1"/>
  <c r="I86" i="1"/>
  <c r="H86" i="1"/>
  <c r="G86" i="1"/>
  <c r="F86" i="1"/>
  <c r="F84" i="1"/>
  <c r="G84" i="1"/>
  <c r="H84" i="1"/>
  <c r="I84" i="1"/>
  <c r="F83" i="1"/>
  <c r="F82" i="1"/>
  <c r="G82" i="1"/>
  <c r="H82" i="1"/>
  <c r="I82" i="1"/>
  <c r="C73" i="1"/>
  <c r="D73" i="1"/>
  <c r="E73" i="1"/>
  <c r="C71" i="1"/>
  <c r="D71" i="1"/>
  <c r="E71" i="1"/>
  <c r="F71" i="1"/>
  <c r="G71" i="1"/>
  <c r="H71" i="1"/>
  <c r="I71" i="1"/>
  <c r="C67" i="1"/>
  <c r="D67" i="1"/>
  <c r="E67" i="1"/>
  <c r="F67" i="1"/>
  <c r="G67" i="1"/>
  <c r="H67" i="1"/>
  <c r="I67" i="1"/>
  <c r="C62" i="1"/>
  <c r="D62" i="1"/>
  <c r="E62" i="1"/>
  <c r="C59" i="1"/>
  <c r="D59" i="1"/>
  <c r="E59" i="1"/>
  <c r="F70" i="1"/>
  <c r="G70" i="1"/>
  <c r="H70" i="1"/>
  <c r="I70" i="1"/>
  <c r="F66" i="1"/>
  <c r="G66" i="1"/>
  <c r="H66" i="1"/>
  <c r="I66" i="1"/>
  <c r="F65" i="1"/>
  <c r="G65" i="1"/>
  <c r="H65" i="1"/>
  <c r="I65" i="1"/>
  <c r="F64" i="1"/>
  <c r="G64" i="1"/>
  <c r="H64" i="1"/>
  <c r="I64" i="1"/>
  <c r="F61" i="1"/>
  <c r="G61" i="1"/>
  <c r="H61" i="1"/>
  <c r="I61" i="1"/>
  <c r="F58" i="1"/>
  <c r="G58" i="1"/>
  <c r="H58" i="1"/>
  <c r="I58" i="1"/>
  <c r="F57" i="1"/>
  <c r="G57" i="1"/>
  <c r="H57" i="1"/>
  <c r="I57" i="1"/>
  <c r="F56" i="1"/>
  <c r="G56" i="1"/>
  <c r="H56" i="1"/>
  <c r="I56" i="1"/>
  <c r="F55" i="1"/>
  <c r="G55" i="1"/>
  <c r="H55" i="1"/>
  <c r="I55" i="1"/>
  <c r="C30" i="2"/>
  <c r="D30" i="2"/>
  <c r="E30" i="2"/>
  <c r="C29" i="2"/>
  <c r="D29" i="2"/>
  <c r="D28" i="2" s="1"/>
  <c r="E29" i="2"/>
  <c r="E28" i="2" s="1"/>
  <c r="F29" i="2"/>
  <c r="G29" i="2"/>
  <c r="H29" i="2"/>
  <c r="I29" i="2"/>
  <c r="F27" i="2"/>
  <c r="G27" i="2"/>
  <c r="H27" i="2"/>
  <c r="I27" i="2"/>
  <c r="C26" i="2"/>
  <c r="D26" i="2"/>
  <c r="E26" i="2"/>
  <c r="F26" i="2"/>
  <c r="G26" i="2"/>
  <c r="H26" i="2"/>
  <c r="I26" i="2"/>
  <c r="F25" i="2"/>
  <c r="E25" i="2"/>
  <c r="D25" i="2"/>
  <c r="F22" i="2"/>
  <c r="E21" i="2"/>
  <c r="D21" i="2"/>
  <c r="F20" i="2"/>
  <c r="F19" i="2"/>
  <c r="G19" i="2"/>
  <c r="H19" i="2"/>
  <c r="I19" i="2"/>
  <c r="E18" i="2"/>
  <c r="D18" i="2"/>
  <c r="F15" i="2"/>
  <c r="G15" i="2"/>
  <c r="H15" i="2"/>
  <c r="I15" i="2"/>
  <c r="F14" i="2"/>
  <c r="G14" i="2"/>
  <c r="H14" i="2"/>
  <c r="I14" i="2"/>
  <c r="F13" i="2"/>
  <c r="G13" i="2"/>
  <c r="H13" i="2"/>
  <c r="I13" i="2"/>
  <c r="F12" i="2"/>
  <c r="G12" i="2"/>
  <c r="H12" i="2"/>
  <c r="I12" i="2"/>
  <c r="I10" i="2"/>
  <c r="H10" i="2"/>
  <c r="G10" i="2"/>
  <c r="F10" i="2"/>
  <c r="I8" i="2"/>
  <c r="H8" i="2"/>
  <c r="G8" i="2"/>
  <c r="F8" i="2"/>
  <c r="I6" i="2"/>
  <c r="H6" i="2"/>
  <c r="G6" i="2"/>
  <c r="F6" i="2"/>
  <c r="F11" i="2"/>
  <c r="G11" i="2"/>
  <c r="H11" i="2"/>
  <c r="I11" i="2"/>
  <c r="F9" i="2"/>
  <c r="G9" i="2"/>
  <c r="H9" i="2"/>
  <c r="I9" i="2"/>
  <c r="F7" i="2"/>
  <c r="G7" i="2"/>
  <c r="H7" i="2"/>
  <c r="I7" i="2"/>
  <c r="C11" i="2"/>
  <c r="D11" i="2"/>
  <c r="E11" i="2"/>
  <c r="C9" i="2"/>
  <c r="D9" i="2"/>
  <c r="E9" i="2"/>
  <c r="C7" i="2"/>
  <c r="D7" i="2"/>
  <c r="E7" i="2"/>
  <c r="F44" i="1"/>
  <c r="G44" i="1"/>
  <c r="H44" i="1"/>
  <c r="I44" i="1"/>
  <c r="F43" i="1"/>
  <c r="G43" i="1"/>
  <c r="H43" i="1"/>
  <c r="I43" i="1"/>
  <c r="I42" i="1"/>
  <c r="H42" i="1"/>
  <c r="G42" i="1"/>
  <c r="F42" i="1"/>
  <c r="F41" i="1"/>
  <c r="G41" i="1"/>
  <c r="H41" i="1"/>
  <c r="I41" i="1"/>
  <c r="I40" i="1"/>
  <c r="H40" i="1"/>
  <c r="G40" i="1"/>
  <c r="F40" i="1"/>
  <c r="F39" i="1"/>
  <c r="G39" i="1"/>
  <c r="H39" i="1"/>
  <c r="I39" i="1"/>
  <c r="F38" i="1"/>
  <c r="G38" i="1"/>
  <c r="H38" i="1"/>
  <c r="I38" i="1"/>
  <c r="F37" i="1"/>
  <c r="G37" i="1"/>
  <c r="H37" i="1"/>
  <c r="I37" i="1"/>
  <c r="I36" i="1"/>
  <c r="H36" i="1"/>
  <c r="G36" i="1"/>
  <c r="F36" i="1"/>
  <c r="I35" i="1"/>
  <c r="H35" i="1"/>
  <c r="G35" i="1"/>
  <c r="F35" i="1"/>
  <c r="F34" i="1"/>
  <c r="G34" i="1"/>
  <c r="H34" i="1"/>
  <c r="I34" i="1"/>
  <c r="F33" i="1"/>
  <c r="G33" i="1"/>
  <c r="H33" i="1"/>
  <c r="I33" i="1"/>
  <c r="I32" i="1"/>
  <c r="H32" i="1"/>
  <c r="G32" i="1"/>
  <c r="F32" i="1"/>
  <c r="F31" i="1"/>
  <c r="G31" i="1"/>
  <c r="H31" i="1"/>
  <c r="I31" i="1"/>
  <c r="I30" i="1"/>
  <c r="H30" i="1"/>
  <c r="G30" i="1"/>
  <c r="F30" i="1"/>
  <c r="C44" i="1"/>
  <c r="D44" i="1"/>
  <c r="E44" i="1"/>
  <c r="C39" i="1"/>
  <c r="D39" i="1"/>
  <c r="E39" i="1"/>
  <c r="C38" i="1"/>
  <c r="D38" i="1"/>
  <c r="E38" i="1"/>
  <c r="C37" i="1"/>
  <c r="D37" i="1"/>
  <c r="E37" i="1"/>
  <c r="C34" i="1"/>
  <c r="D34" i="1"/>
  <c r="E34" i="1"/>
  <c r="C33" i="1"/>
  <c r="D33" i="1"/>
  <c r="E33" i="1"/>
  <c r="E31" i="1"/>
  <c r="D31" i="1"/>
  <c r="G18" i="2" l="1"/>
  <c r="F60" i="1"/>
  <c r="F72" i="1"/>
  <c r="F73" i="1" s="1"/>
  <c r="G25" i="2"/>
  <c r="F54" i="1" l="1"/>
  <c r="G20" i="2"/>
  <c r="G101" i="1" l="1"/>
  <c r="F59" i="1"/>
  <c r="F62" i="1" s="1"/>
  <c r="F113" i="1" s="1"/>
  <c r="F102" i="1"/>
  <c r="G83" i="1"/>
  <c r="G92" i="1" s="1"/>
  <c r="G22" i="2"/>
  <c r="G95" i="1" l="1"/>
  <c r="H18" i="2"/>
  <c r="G60" i="1"/>
  <c r="H20" i="2" l="1"/>
  <c r="G97" i="1"/>
  <c r="G30" i="2" s="1"/>
  <c r="G31" i="2" s="1"/>
  <c r="G100" i="1"/>
  <c r="G72" i="1" l="1"/>
  <c r="G73" i="1" s="1"/>
  <c r="G54" i="1" s="1"/>
  <c r="H25" i="2"/>
  <c r="H83" i="1"/>
  <c r="H92" i="1" s="1"/>
  <c r="H22" i="2"/>
  <c r="H101" i="1" l="1"/>
  <c r="G59" i="1"/>
  <c r="G62" i="1" s="1"/>
  <c r="G113" i="1" s="1"/>
  <c r="G102" i="1"/>
  <c r="H95" i="1"/>
  <c r="I18" i="2"/>
  <c r="H60" i="1"/>
  <c r="I20" i="2" l="1"/>
  <c r="H97" i="1"/>
  <c r="H30" i="2" s="1"/>
  <c r="H31" i="2" s="1"/>
  <c r="H100" i="1"/>
  <c r="I25" i="2" l="1"/>
  <c r="H72" i="1"/>
  <c r="H73" i="1" s="1"/>
  <c r="H54" i="1" s="1"/>
  <c r="I83" i="1"/>
  <c r="I92" i="1" s="1"/>
  <c r="I22" i="2"/>
  <c r="I60" i="1" s="1"/>
  <c r="I101" i="1" l="1"/>
  <c r="H102" i="1"/>
  <c r="H59" i="1"/>
  <c r="H62" i="1" s="1"/>
  <c r="H113" i="1" s="1"/>
  <c r="I95" i="1"/>
  <c r="I97" i="1" l="1"/>
  <c r="I30" i="2" l="1"/>
  <c r="I31" i="2" s="1"/>
  <c r="I72" i="1" s="1"/>
  <c r="I73" i="1" s="1"/>
  <c r="I54" i="1" s="1"/>
  <c r="I100" i="1"/>
  <c r="I59" i="1" l="1"/>
  <c r="I62" i="1" s="1"/>
  <c r="I113" i="1" s="1"/>
  <c r="I102" i="1"/>
</calcChain>
</file>

<file path=xl/sharedStrings.xml><?xml version="1.0" encoding="utf-8"?>
<sst xmlns="http://schemas.openxmlformats.org/spreadsheetml/2006/main" count="166" uniqueCount="137">
  <si>
    <t>🍎 Apple Inc. — 3-Statement Model</t>
  </si>
  <si>
    <t>USD ($mm) | Fiscal year end: September</t>
  </si>
  <si>
    <t>FY2023A</t>
  </si>
  <si>
    <t>FY2024A</t>
  </si>
  <si>
    <t>FY2025A</t>
  </si>
  <si>
    <t>FY2026E</t>
  </si>
  <si>
    <t>FY2027E</t>
  </si>
  <si>
    <t>FY2028E</t>
  </si>
  <si>
    <t>FY2029E</t>
  </si>
  <si>
    <t>🟦 Key Assumptions</t>
  </si>
  <si>
    <t>📈 Income Statement</t>
  </si>
  <si>
    <t>🏦 Balance Sheet</t>
  </si>
  <si>
    <t>💧 Cash Flow Statement</t>
  </si>
  <si>
    <t>✅ Balance Check (Assets - Liabilities - Equity)</t>
  </si>
  <si>
    <t>📑 Supporting Schedules (USD $mm)</t>
  </si>
  <si>
    <t>🔗 Sources &amp; Links</t>
  </si>
  <si>
    <t>Revenue Growth %</t>
  </si>
  <si>
    <t>Gross Margin %</t>
  </si>
  <si>
    <t>R&amp;D % of Revenue</t>
  </si>
  <si>
    <t>SG&amp;A % of Revenue</t>
  </si>
  <si>
    <t>Other Inc/(Exp) % of Revenue</t>
  </si>
  <si>
    <t>Tax Rate %</t>
  </si>
  <si>
    <t>Depreciation % of Beg. Net PPE</t>
  </si>
  <si>
    <t>Amortization % of Revenue</t>
  </si>
  <si>
    <t>Capex % of Revenue</t>
  </si>
  <si>
    <t>DSO (days)</t>
  </si>
  <si>
    <t>days</t>
  </si>
  <si>
    <t>DIO (days)</t>
  </si>
  <si>
    <t>DPO (days)</t>
  </si>
  <si>
    <t>Vendor non-trade receivables % Rev</t>
  </si>
  <si>
    <t>Other current assets % Rev</t>
  </si>
  <si>
    <t>Other current liabilities % Rev</t>
  </si>
  <si>
    <t>Deferred revenue % Rev</t>
  </si>
  <si>
    <t>Other non-current assets % Rev</t>
  </si>
  <si>
    <t>Other non-current liabilities % Rev</t>
  </si>
  <si>
    <t>Dividend payout % of Net Income</t>
  </si>
  <si>
    <t>Share repurchase % of Free Cash Flow</t>
  </si>
  <si>
    <t>Share-based comp % of Revenue</t>
  </si>
  <si>
    <t>Total net sales</t>
  </si>
  <si>
    <t>% Growth</t>
  </si>
  <si>
    <t>Total cost of sales</t>
  </si>
  <si>
    <t>Gross margin</t>
  </si>
  <si>
    <t>Gross margin %</t>
  </si>
  <si>
    <t>Research &amp; development</t>
  </si>
  <si>
    <t>Selling, general &amp; admin</t>
  </si>
  <si>
    <t>Total operating expenses</t>
  </si>
  <si>
    <t>Operating income</t>
  </si>
  <si>
    <t>Operating margin %</t>
  </si>
  <si>
    <t>Other income/(expense)</t>
  </si>
  <si>
    <t>Income before taxes</t>
  </si>
  <si>
    <t>Provision for income taxes</t>
  </si>
  <si>
    <t>Net income</t>
  </si>
  <si>
    <t>Net margin %</t>
  </si>
  <si>
    <t>Item</t>
  </si>
  <si>
    <t>Working Capital Schedule</t>
  </si>
  <si>
    <t>Accounts receivable</t>
  </si>
  <si>
    <t>Inventories</t>
  </si>
  <si>
    <t>Accounts payable</t>
  </si>
  <si>
    <t>Vendor non-trade receivables</t>
  </si>
  <si>
    <t>Other current assets</t>
  </si>
  <si>
    <t>Other current liabilities</t>
  </si>
  <si>
    <t>Deferred revenue</t>
  </si>
  <si>
    <t>PP&amp;E Schedule</t>
  </si>
  <si>
    <t>Beginning net PP&amp;E</t>
  </si>
  <si>
    <t>Capex</t>
  </si>
  <si>
    <t>Depreciation (PP&amp;E)</t>
  </si>
  <si>
    <t>Other changes (plug hist)</t>
  </si>
  <si>
    <t>Ending net PP&amp;E</t>
  </si>
  <si>
    <t>Equity Roll-Forward</t>
  </si>
  <si>
    <t>Beginning equity</t>
  </si>
  <si>
    <t>Share-based compensation</t>
  </si>
  <si>
    <t>Other equity items (plug hist)</t>
  </si>
  <si>
    <t>Dividends</t>
  </si>
  <si>
    <t>Share repurchases</t>
  </si>
  <si>
    <t>Ending equity</t>
  </si>
  <si>
    <t>Cash &amp; marketable securities</t>
  </si>
  <si>
    <t>Total current assets</t>
  </si>
  <si>
    <t>Property, plant &amp; equipment, net</t>
  </si>
  <si>
    <t>Other non-current assets</t>
  </si>
  <si>
    <t>Total assets</t>
  </si>
  <si>
    <t>Total operating current liabilities</t>
  </si>
  <si>
    <t>Debt - short term (CP + current LTD)</t>
  </si>
  <si>
    <t>Debt - long term</t>
  </si>
  <si>
    <t>Other non-current liabilities</t>
  </si>
  <si>
    <t>Total liabilities</t>
  </si>
  <si>
    <t>Total shareholders' equity</t>
  </si>
  <si>
    <t>Total liabilities &amp; equity</t>
  </si>
  <si>
    <t>Depreciation &amp; amortization</t>
  </si>
  <si>
    <t>Other non-cash items</t>
  </si>
  <si>
    <t>Change in accounts receivable</t>
  </si>
  <si>
    <t>Change in vendor non-trade receivables</t>
  </si>
  <si>
    <t>Change in inventories</t>
  </si>
  <si>
    <t>Change in other current &amp; non-current assets</t>
  </si>
  <si>
    <t>Change in accounts payable</t>
  </si>
  <si>
    <t>Change in other current &amp; non-current liabilities</t>
  </si>
  <si>
    <t>Net cash from operating activities</t>
  </si>
  <si>
    <t>Capital expenditures</t>
  </si>
  <si>
    <t>Other investing activities</t>
  </si>
  <si>
    <t>Free cash flow</t>
  </si>
  <si>
    <t>Net debt issued/(repaid)</t>
  </si>
  <si>
    <t>Other financing</t>
  </si>
  <si>
    <t>Net change in cash &amp; marketable securities</t>
  </si>
  <si>
    <t>Beginning cash &amp; marketable securities</t>
  </si>
  <si>
    <t>Ending cash &amp; marketable securities</t>
  </si>
  <si>
    <t>Balance Check (should be 0)</t>
  </si>
  <si>
    <t>Type</t>
  </si>
  <si>
    <t>Description</t>
  </si>
  <si>
    <t>Link</t>
  </si>
  <si>
    <t>Notes</t>
  </si>
  <si>
    <t>SEC Filing</t>
  </si>
  <si>
    <t>Apple FY2025 Form 10-K (year ended Sep 27, 2025)</t>
  </si>
  <si>
    <t>Press Release</t>
  </si>
  <si>
    <t>Apple FY2025 Q4 Consolidated Financial Statements (PDF)</t>
  </si>
  <si>
    <t>Apple FY2024 Form 10-K (for FY2023 Balance Sheet)</t>
  </si>
  <si>
    <t>Consensus Estimates</t>
  </si>
  <si>
    <t>StockAnalysis AAPL Forecast (Finnhub-sourced analyst consensus)</t>
  </si>
  <si>
    <t>Yahoo Finance Analyst Estimates (cross-check)</t>
  </si>
  <si>
    <t>Income Statement, Balance Sheet, Cash Flow (historical)</t>
  </si>
  <si>
    <t>Q4 press release financial statements</t>
  </si>
  <si>
    <t>Used for FY2023 Balance Sheet comparatives</t>
  </si>
  <si>
    <t>Revenue &amp; EPS consensus for FY2026–FY2027</t>
  </si>
  <si>
    <t>Revenue &amp; EPS estimates for FY2026–FY2027</t>
  </si>
  <si>
    <t>https://www.sec.gov/Archives/edgar/data/320193/000032019325000079/aapl-20250927.htm</t>
  </si>
  <si>
    <t>https://www.apple.com/newsroom/pdfs/fy2025-q4/FY25_Q4_Consolidated_Financial_Statements.pdf</t>
  </si>
  <si>
    <t>https://www.sec.gov/Archives/edgar/data/320193/000032019324000123/aapl-20240928.htm</t>
  </si>
  <si>
    <t>https://stockanalysis.com/stocks/aapl/forecast/</t>
  </si>
  <si>
    <t>https://finance.yahoo.com/quote/AAPL/analysis/</t>
  </si>
  <si>
    <t>FY26–FY27 growth based on analyst consensus (StockAnalysis/Finnhub). FY28–FY29 are fade assumptions.</t>
  </si>
  <si>
    <t>Source: Apple FY2025 Form 10-K (Income Statement)</t>
  </si>
  <si>
    <t>Source: Apple FY2024 &amp; FY2025 Form 10-K (Balance Sheet)</t>
  </si>
  <si>
    <t>Source: Apple FY2025 Form 10-K (Cash Flow)</t>
  </si>
  <si>
    <t>not driven off interest expense</t>
  </si>
  <si>
    <t>Score is 4</t>
  </si>
  <si>
    <t>no EPS calculation</t>
  </si>
  <si>
    <t>not a good place toplug</t>
  </si>
  <si>
    <t>mistake in pp&amp;E forecast</t>
  </si>
  <si>
    <t>score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</si>
</sst>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#,##0;\(#,##0\);\-"/>
    <numFmt numFmtId="166" formatCode="0.0"/>
  </numFmts>
  <fonts count="12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8"/>
      <color theme="1"/>
      <name val="Arial"/>
      <family val="2"/>
    </font>
    <font>
      <i/>
      <sz val="10"/>
      <color theme="1"/>
      <name val="Arial"/>
      <family val="2"/>
    </font>
    <font>
      <b/>
      <sz val="10"/>
      <color rgb="FFFFFFFF"/>
      <name val="Arial"/>
      <family val="2"/>
    </font>
    <font>
      <b/>
      <sz val="10"/>
      <color rgb="FF1F4E79"/>
      <name val="Arial"/>
      <family val="2"/>
    </font>
    <font>
      <b/>
      <sz val="10"/>
      <color rgb="FF7F6000"/>
      <name val="Arial"/>
      <family val="2"/>
    </font>
    <font>
      <b/>
      <sz val="16"/>
      <color theme="1"/>
      <name val="Arial"/>
      <family val="2"/>
    </font>
    <font>
      <sz val="10"/>
      <color rgb="FF0070C0"/>
      <name val="Arial"/>
      <family val="2"/>
    </font>
    <font>
      <b/>
      <i/>
      <sz val="10"/>
      <color rgb="FF595959"/>
      <name val="Arial"/>
      <family val="2"/>
    </font>
    <font>
      <i/>
      <sz val="10"/>
      <color rgb="FF595959"/>
      <name val="Arial"/>
      <family val="2"/>
    </font>
    <font>
      <b/>
      <sz val="10"/>
      <color rgb="FF0070C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1F4E79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FCE4D6"/>
        <bgColor indexed="64"/>
      </patternFill>
    </fill>
    <fill>
      <patternFill patternType="solid">
        <fgColor rgb="FFE7F1FF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/>
    <xf numFmtId="0" fontId="4" fillId="2" borderId="0" xfId="0" applyFont="1" applyFill="1"/>
    <xf numFmtId="0" fontId="4" fillId="2" borderId="0" xfId="0" applyFont="1" applyFill="1" applyAlignment="1">
      <alignment horizontal="center"/>
    </xf>
    <xf numFmtId="0" fontId="1" fillId="0" borderId="0" xfId="0" applyFont="1"/>
    <xf numFmtId="0" fontId="5" fillId="3" borderId="0" xfId="0" applyFont="1" applyFill="1"/>
    <xf numFmtId="0" fontId="6" fillId="4" borderId="0" xfId="0" applyFont="1" applyFill="1"/>
    <xf numFmtId="0" fontId="7" fillId="5" borderId="0" xfId="0" applyFont="1" applyFill="1"/>
    <xf numFmtId="0" fontId="7" fillId="6" borderId="0" xfId="0" applyFont="1" applyFill="1"/>
    <xf numFmtId="164" fontId="0" fillId="0" borderId="0" xfId="0" applyNumberFormat="1"/>
    <xf numFmtId="164" fontId="8" fillId="7" borderId="0" xfId="0" applyNumberFormat="1" applyFont="1" applyFill="1"/>
    <xf numFmtId="1" fontId="8" fillId="7" borderId="0" xfId="0" applyNumberFormat="1" applyFont="1" applyFill="1"/>
    <xf numFmtId="1" fontId="0" fillId="0" borderId="0" xfId="0" applyNumberFormat="1"/>
    <xf numFmtId="165" fontId="0" fillId="0" borderId="0" xfId="0" applyNumberFormat="1"/>
    <xf numFmtId="165" fontId="1" fillId="0" borderId="0" xfId="0" applyNumberFormat="1" applyFont="1"/>
    <xf numFmtId="166" fontId="0" fillId="0" borderId="0" xfId="0" applyNumberFormat="1"/>
    <xf numFmtId="0" fontId="9" fillId="0" borderId="0" xfId="0" applyFont="1" applyAlignment="1">
      <alignment wrapText="1"/>
    </xf>
    <xf numFmtId="0" fontId="9" fillId="3" borderId="0" xfId="0" applyFont="1" applyFill="1" applyAlignment="1">
      <alignment wrapText="1"/>
    </xf>
    <xf numFmtId="0" fontId="10" fillId="0" borderId="0" xfId="0" applyFont="1" applyAlignment="1">
      <alignment wrapText="1"/>
    </xf>
    <xf numFmtId="0" fontId="9" fillId="0" borderId="0" xfId="0" applyFont="1" applyAlignment="1"/>
    <xf numFmtId="0" fontId="10" fillId="0" borderId="0" xfId="0" applyFont="1" applyAlignment="1"/>
    <xf numFmtId="165" fontId="11" fillId="0" borderId="0" xfId="0" applyNumberFormat="1" applyFont="1"/>
    <xf numFmtId="165" fontId="8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1C16A8-998C-4C7F-94BA-6240182BE13D}">
  <dimension ref="A1:K113"/>
  <sheetViews>
    <sheetView topLeftCell="A39" workbookViewId="0">
      <selection activeCell="F55" sqref="F55"/>
    </sheetView>
  </sheetViews>
  <sheetFormatPr defaultRowHeight="12.75" x14ac:dyDescent="0.2"/>
  <cols>
    <col min="1" max="1" width="41.140625" bestFit="1" customWidth="1"/>
  </cols>
  <sheetData>
    <row r="1" spans="1:9" ht="23.25" x14ac:dyDescent="0.35">
      <c r="A1" s="2" t="s">
        <v>0</v>
      </c>
      <c r="B1" s="1"/>
      <c r="C1" s="1"/>
      <c r="D1" s="1"/>
      <c r="E1" s="1"/>
      <c r="F1" s="1"/>
      <c r="G1" s="1"/>
      <c r="H1" s="1"/>
      <c r="I1" s="1"/>
    </row>
    <row r="2" spans="1:9" x14ac:dyDescent="0.2">
      <c r="A2" s="3" t="s">
        <v>1</v>
      </c>
      <c r="B2" s="1"/>
      <c r="C2" s="1"/>
      <c r="D2" s="1"/>
      <c r="E2" s="1"/>
      <c r="F2" s="1"/>
      <c r="G2" s="1"/>
      <c r="H2" s="1"/>
      <c r="I2" s="1"/>
    </row>
    <row r="4" spans="1:9" x14ac:dyDescent="0.2">
      <c r="A4" s="6"/>
      <c r="B4" s="6"/>
      <c r="C4" s="6" t="s">
        <v>2</v>
      </c>
      <c r="D4" s="6" t="s">
        <v>3</v>
      </c>
      <c r="E4" s="6" t="s">
        <v>4</v>
      </c>
      <c r="F4" s="6" t="s">
        <v>5</v>
      </c>
      <c r="G4" s="6" t="s">
        <v>6</v>
      </c>
      <c r="H4" s="6" t="s">
        <v>7</v>
      </c>
      <c r="I4" s="6" t="s">
        <v>8</v>
      </c>
    </row>
    <row r="6" spans="1:9" x14ac:dyDescent="0.2">
      <c r="A6" s="8" t="s">
        <v>9</v>
      </c>
      <c r="B6" s="8"/>
      <c r="C6" s="8"/>
      <c r="D6" s="8"/>
      <c r="E6" s="8"/>
      <c r="F6" s="8"/>
      <c r="G6" s="8"/>
      <c r="H6" s="8"/>
      <c r="I6" s="8"/>
    </row>
    <row r="7" spans="1:9" x14ac:dyDescent="0.2">
      <c r="A7" s="4" t="s">
        <v>16</v>
      </c>
      <c r="B7" s="22" t="s">
        <v>127</v>
      </c>
      <c r="C7" s="12"/>
      <c r="D7" s="12"/>
      <c r="E7" s="12"/>
      <c r="F7" s="13">
        <v>0.1348</v>
      </c>
      <c r="G7" s="13">
        <v>6.5100000000000005E-2</v>
      </c>
      <c r="H7" s="13">
        <v>0.05</v>
      </c>
      <c r="I7" s="13">
        <v>0.04</v>
      </c>
    </row>
    <row r="8" spans="1:9" x14ac:dyDescent="0.2">
      <c r="A8" s="4" t="s">
        <v>17</v>
      </c>
      <c r="B8" s="19"/>
      <c r="C8" s="12"/>
      <c r="D8" s="12"/>
      <c r="E8" s="12"/>
      <c r="F8" s="13">
        <v>0.47</v>
      </c>
      <c r="G8" s="13">
        <v>0.47</v>
      </c>
      <c r="H8" s="13">
        <v>0.47</v>
      </c>
      <c r="I8" s="13">
        <v>0.47</v>
      </c>
    </row>
    <row r="9" spans="1:9" x14ac:dyDescent="0.2">
      <c r="A9" s="4" t="s">
        <v>18</v>
      </c>
      <c r="B9" s="19"/>
      <c r="C9" s="12"/>
      <c r="D9" s="12"/>
      <c r="E9" s="12"/>
      <c r="F9" s="13">
        <v>8.2000000000000003E-2</v>
      </c>
      <c r="G9" s="13">
        <v>8.2000000000000003E-2</v>
      </c>
      <c r="H9" s="13">
        <v>8.2000000000000003E-2</v>
      </c>
      <c r="I9" s="13">
        <v>8.2000000000000003E-2</v>
      </c>
    </row>
    <row r="10" spans="1:9" x14ac:dyDescent="0.2">
      <c r="A10" s="4" t="s">
        <v>19</v>
      </c>
      <c r="B10" s="19"/>
      <c r="C10" s="12"/>
      <c r="D10" s="12"/>
      <c r="E10" s="12"/>
      <c r="F10" s="13">
        <v>6.6000000000000003E-2</v>
      </c>
      <c r="G10" s="13">
        <v>6.6000000000000003E-2</v>
      </c>
      <c r="H10" s="13">
        <v>6.6000000000000003E-2</v>
      </c>
      <c r="I10" s="13">
        <v>6.6000000000000003E-2</v>
      </c>
    </row>
    <row r="11" spans="1:9" x14ac:dyDescent="0.2">
      <c r="A11" s="4" t="s">
        <v>20</v>
      </c>
      <c r="B11" s="19"/>
      <c r="C11" s="12"/>
      <c r="D11" s="12"/>
      <c r="E11" s="12"/>
      <c r="F11" s="13">
        <v>0</v>
      </c>
      <c r="G11" s="13">
        <v>0</v>
      </c>
      <c r="H11" s="13">
        <v>0</v>
      </c>
      <c r="I11" s="13">
        <v>0</v>
      </c>
    </row>
    <row r="12" spans="1:9" x14ac:dyDescent="0.2">
      <c r="A12" s="4" t="s">
        <v>21</v>
      </c>
      <c r="B12" s="19"/>
      <c r="C12" s="12"/>
      <c r="D12" s="12"/>
      <c r="E12" s="12"/>
      <c r="F12" s="13">
        <v>0.16500000000000001</v>
      </c>
      <c r="G12" s="13">
        <v>0.16500000000000001</v>
      </c>
      <c r="H12" s="13">
        <v>0.16500000000000001</v>
      </c>
      <c r="I12" s="13">
        <v>0.16500000000000001</v>
      </c>
    </row>
    <row r="13" spans="1:9" x14ac:dyDescent="0.2">
      <c r="A13" s="4" t="s">
        <v>22</v>
      </c>
      <c r="B13" s="19"/>
      <c r="C13" s="12"/>
      <c r="D13" s="12"/>
      <c r="E13" s="12"/>
      <c r="F13" s="13">
        <v>0.17</v>
      </c>
      <c r="G13" s="13">
        <v>0.17</v>
      </c>
      <c r="H13" s="13">
        <v>0.17</v>
      </c>
      <c r="I13" s="13">
        <v>0.17</v>
      </c>
    </row>
    <row r="14" spans="1:9" x14ac:dyDescent="0.2">
      <c r="A14" s="4" t="s">
        <v>23</v>
      </c>
      <c r="B14" s="19"/>
      <c r="C14" s="12"/>
      <c r="D14" s="12"/>
      <c r="E14" s="12"/>
      <c r="F14" s="13">
        <v>8.9999999999999993E-3</v>
      </c>
      <c r="G14" s="13">
        <v>8.9999999999999993E-3</v>
      </c>
      <c r="H14" s="13">
        <v>8.9999999999999993E-3</v>
      </c>
      <c r="I14" s="13">
        <v>8.9999999999999993E-3</v>
      </c>
    </row>
    <row r="15" spans="1:9" x14ac:dyDescent="0.2">
      <c r="A15" s="4" t="s">
        <v>24</v>
      </c>
      <c r="B15" s="19"/>
      <c r="C15" s="12"/>
      <c r="D15" s="12"/>
      <c r="E15" s="12"/>
      <c r="F15" s="13">
        <v>0.03</v>
      </c>
      <c r="G15" s="13">
        <v>0.03</v>
      </c>
      <c r="H15" s="13">
        <v>0.03</v>
      </c>
      <c r="I15" s="13">
        <v>0.03</v>
      </c>
    </row>
    <row r="16" spans="1:9" x14ac:dyDescent="0.2">
      <c r="A16" s="4" t="s">
        <v>25</v>
      </c>
      <c r="B16" s="19" t="s">
        <v>26</v>
      </c>
      <c r="C16" s="15"/>
      <c r="D16" s="15"/>
      <c r="E16" s="15"/>
      <c r="F16" s="14">
        <v>32</v>
      </c>
      <c r="G16" s="14">
        <v>32</v>
      </c>
      <c r="H16" s="14">
        <v>32</v>
      </c>
      <c r="I16" s="14">
        <v>32</v>
      </c>
    </row>
    <row r="17" spans="1:11" x14ac:dyDescent="0.2">
      <c r="A17" s="4" t="s">
        <v>27</v>
      </c>
      <c r="B17" s="19" t="s">
        <v>26</v>
      </c>
      <c r="C17" s="15"/>
      <c r="D17" s="15"/>
      <c r="E17" s="15"/>
      <c r="F17" s="14">
        <v>11</v>
      </c>
      <c r="G17" s="14">
        <v>11</v>
      </c>
      <c r="H17" s="14">
        <v>11</v>
      </c>
      <c r="I17" s="14">
        <v>11</v>
      </c>
    </row>
    <row r="18" spans="1:11" x14ac:dyDescent="0.2">
      <c r="A18" s="4" t="s">
        <v>28</v>
      </c>
      <c r="B18" s="19" t="s">
        <v>26</v>
      </c>
      <c r="C18" s="15"/>
      <c r="D18" s="15"/>
      <c r="E18" s="15"/>
      <c r="F18" s="14">
        <v>115</v>
      </c>
      <c r="G18" s="14">
        <v>115</v>
      </c>
      <c r="H18" s="14">
        <v>115</v>
      </c>
      <c r="I18" s="14">
        <v>115</v>
      </c>
    </row>
    <row r="19" spans="1:11" x14ac:dyDescent="0.2">
      <c r="A19" s="4" t="s">
        <v>29</v>
      </c>
      <c r="B19" s="19"/>
      <c r="C19" s="12"/>
      <c r="D19" s="12"/>
      <c r="E19" s="12"/>
      <c r="F19" s="13">
        <v>0.08</v>
      </c>
      <c r="G19" s="13">
        <v>0.08</v>
      </c>
      <c r="H19" s="13">
        <v>0.08</v>
      </c>
      <c r="I19" s="13">
        <v>0.08</v>
      </c>
    </row>
    <row r="20" spans="1:11" x14ac:dyDescent="0.2">
      <c r="A20" s="4" t="s">
        <v>30</v>
      </c>
      <c r="B20" s="19"/>
      <c r="C20" s="12"/>
      <c r="D20" s="12"/>
      <c r="E20" s="12"/>
      <c r="F20" s="13">
        <v>3.5000000000000003E-2</v>
      </c>
      <c r="G20" s="13">
        <v>3.5000000000000003E-2</v>
      </c>
      <c r="H20" s="13">
        <v>3.5000000000000003E-2</v>
      </c>
      <c r="I20" s="13">
        <v>3.5000000000000003E-2</v>
      </c>
    </row>
    <row r="21" spans="1:11" x14ac:dyDescent="0.2">
      <c r="A21" s="4" t="s">
        <v>31</v>
      </c>
      <c r="B21" s="19"/>
      <c r="C21" s="12"/>
      <c r="D21" s="12"/>
      <c r="E21" s="12"/>
      <c r="F21" s="13">
        <v>0.16</v>
      </c>
      <c r="G21" s="13">
        <v>0.16</v>
      </c>
      <c r="H21" s="13">
        <v>0.16</v>
      </c>
      <c r="I21" s="13">
        <v>0.16</v>
      </c>
    </row>
    <row r="22" spans="1:11" x14ac:dyDescent="0.2">
      <c r="A22" s="4" t="s">
        <v>32</v>
      </c>
      <c r="B22" s="19"/>
      <c r="C22" s="12"/>
      <c r="D22" s="12"/>
      <c r="E22" s="12"/>
      <c r="F22" s="13">
        <v>2.1999999999999999E-2</v>
      </c>
      <c r="G22" s="13">
        <v>2.1999999999999999E-2</v>
      </c>
      <c r="H22" s="13">
        <v>2.1999999999999999E-2</v>
      </c>
      <c r="I22" s="13">
        <v>2.1999999999999999E-2</v>
      </c>
    </row>
    <row r="23" spans="1:11" x14ac:dyDescent="0.2">
      <c r="A23" s="4" t="s">
        <v>33</v>
      </c>
      <c r="B23" s="19"/>
      <c r="C23" s="12"/>
      <c r="D23" s="12"/>
      <c r="E23" s="12"/>
      <c r="F23" s="13">
        <v>0.2</v>
      </c>
      <c r="G23" s="13">
        <v>0.2</v>
      </c>
      <c r="H23" s="13">
        <v>0.2</v>
      </c>
      <c r="I23" s="13">
        <v>0.2</v>
      </c>
    </row>
    <row r="24" spans="1:11" x14ac:dyDescent="0.2">
      <c r="A24" s="4" t="s">
        <v>34</v>
      </c>
      <c r="B24" s="19"/>
      <c r="C24" s="12"/>
      <c r="D24" s="12"/>
      <c r="E24" s="12"/>
      <c r="F24" s="13">
        <v>0.1</v>
      </c>
      <c r="G24" s="13">
        <v>0.1</v>
      </c>
      <c r="H24" s="13">
        <v>0.1</v>
      </c>
      <c r="I24" s="13">
        <v>0.1</v>
      </c>
    </row>
    <row r="25" spans="1:11" x14ac:dyDescent="0.2">
      <c r="A25" s="4" t="s">
        <v>35</v>
      </c>
      <c r="B25" s="19"/>
      <c r="C25" s="12"/>
      <c r="D25" s="12"/>
      <c r="E25" s="12"/>
      <c r="F25" s="13">
        <v>0.14000000000000001</v>
      </c>
      <c r="G25" s="13">
        <v>0.14000000000000001</v>
      </c>
      <c r="H25" s="13">
        <v>0.14000000000000001</v>
      </c>
      <c r="I25" s="13">
        <v>0.14000000000000001</v>
      </c>
    </row>
    <row r="26" spans="1:11" x14ac:dyDescent="0.2">
      <c r="A26" s="4" t="s">
        <v>36</v>
      </c>
      <c r="B26" s="19"/>
      <c r="C26" s="12"/>
      <c r="D26" s="12"/>
      <c r="E26" s="12"/>
      <c r="F26" s="13">
        <v>0.9</v>
      </c>
      <c r="G26" s="13">
        <v>0.9</v>
      </c>
      <c r="H26" s="13">
        <v>0.9</v>
      </c>
      <c r="I26" s="13">
        <v>0.9</v>
      </c>
    </row>
    <row r="27" spans="1:11" x14ac:dyDescent="0.2">
      <c r="A27" s="4" t="s">
        <v>37</v>
      </c>
      <c r="B27" s="19"/>
      <c r="C27" s="12"/>
      <c r="D27" s="12"/>
      <c r="E27" s="12"/>
      <c r="F27" s="13">
        <v>0.03</v>
      </c>
      <c r="G27" s="13">
        <v>0.03</v>
      </c>
      <c r="H27" s="13">
        <v>0.03</v>
      </c>
      <c r="I27" s="13">
        <v>0.03</v>
      </c>
    </row>
    <row r="28" spans="1:11" x14ac:dyDescent="0.2">
      <c r="A28" s="8" t="s">
        <v>10</v>
      </c>
      <c r="B28" s="20"/>
      <c r="C28" s="8"/>
      <c r="D28" s="8"/>
      <c r="E28" s="8"/>
      <c r="F28" s="8"/>
      <c r="G28" s="8"/>
      <c r="H28" s="8"/>
      <c r="I28" s="8"/>
    </row>
    <row r="29" spans="1:11" x14ac:dyDescent="0.2">
      <c r="B29" s="21"/>
    </row>
    <row r="30" spans="1:11" x14ac:dyDescent="0.2">
      <c r="A30" s="4" t="s">
        <v>38</v>
      </c>
      <c r="B30" s="22" t="s">
        <v>128</v>
      </c>
      <c r="C30" s="24">
        <v>383285</v>
      </c>
      <c r="D30" s="24">
        <v>391035</v>
      </c>
      <c r="E30" s="24">
        <v>416161</v>
      </c>
      <c r="F30" s="17">
        <f>E30*(1+F7)</f>
        <v>472259.50280000002</v>
      </c>
      <c r="G30" s="17">
        <f>F30*(1+G7)</f>
        <v>503003.59643227997</v>
      </c>
      <c r="H30" s="17">
        <f>G30*(1+H7)</f>
        <v>528153.77625389397</v>
      </c>
      <c r="I30" s="17">
        <f>H30*(1+I7)</f>
        <v>549279.92730404972</v>
      </c>
      <c r="K30" t="s">
        <v>132</v>
      </c>
    </row>
    <row r="31" spans="1:11" x14ac:dyDescent="0.2">
      <c r="A31" t="s">
        <v>39</v>
      </c>
      <c r="B31" s="21"/>
      <c r="C31" s="12"/>
      <c r="D31" s="12">
        <f>D30/C30-1</f>
        <v>2.021994077514111E-2</v>
      </c>
      <c r="E31" s="12">
        <f>E30/D30-1</f>
        <v>6.425511782832749E-2</v>
      </c>
      <c r="F31" s="12">
        <f>F7</f>
        <v>0.1348</v>
      </c>
      <c r="G31" s="12">
        <f>G7</f>
        <v>6.5100000000000005E-2</v>
      </c>
      <c r="H31" s="12">
        <f>H7</f>
        <v>0.05</v>
      </c>
      <c r="I31" s="12">
        <f>I7</f>
        <v>0.04</v>
      </c>
    </row>
    <row r="32" spans="1:11" x14ac:dyDescent="0.2">
      <c r="A32" t="s">
        <v>40</v>
      </c>
      <c r="B32" s="21"/>
      <c r="C32" s="25">
        <v>214137</v>
      </c>
      <c r="D32" s="25">
        <v>210352</v>
      </c>
      <c r="E32" s="25">
        <v>220960</v>
      </c>
      <c r="F32" s="16">
        <f>F30*(1-F8)</f>
        <v>250297.53648400001</v>
      </c>
      <c r="G32" s="16">
        <f>G30*(1-G8)</f>
        <v>266591.90610910841</v>
      </c>
      <c r="H32" s="16">
        <f>H30*(1-H8)</f>
        <v>279921.5014145638</v>
      </c>
      <c r="I32" s="16">
        <f>I30*(1-I8)</f>
        <v>291118.36147114635</v>
      </c>
    </row>
    <row r="33" spans="1:11" x14ac:dyDescent="0.2">
      <c r="A33" s="4" t="s">
        <v>41</v>
      </c>
      <c r="B33" s="19"/>
      <c r="C33" s="17">
        <f>C30-C32</f>
        <v>169148</v>
      </c>
      <c r="D33" s="17">
        <f>D30-D32</f>
        <v>180683</v>
      </c>
      <c r="E33" s="17">
        <f>E30-E32</f>
        <v>195201</v>
      </c>
      <c r="F33" s="17">
        <f>F30-F32</f>
        <v>221961.96631600001</v>
      </c>
      <c r="G33" s="17">
        <f>G30-G32</f>
        <v>236411.69032317156</v>
      </c>
      <c r="H33" s="17">
        <f>H30-H32</f>
        <v>248232.27483933017</v>
      </c>
      <c r="I33" s="17">
        <f>I30-I32</f>
        <v>258161.56583290338</v>
      </c>
    </row>
    <row r="34" spans="1:11" x14ac:dyDescent="0.2">
      <c r="A34" t="s">
        <v>42</v>
      </c>
      <c r="B34" s="21"/>
      <c r="C34" s="12">
        <f>C33/C30</f>
        <v>0.44131129577207562</v>
      </c>
      <c r="D34" s="12">
        <f>D33/D30</f>
        <v>0.46206349815233932</v>
      </c>
      <c r="E34" s="12">
        <f>E33/E30</f>
        <v>0.46905164107160452</v>
      </c>
      <c r="F34" s="12">
        <f>F33/F30</f>
        <v>0.47</v>
      </c>
      <c r="G34" s="12">
        <f>G33/G30</f>
        <v>0.46999999999999992</v>
      </c>
      <c r="H34" s="12">
        <f>H33/H30</f>
        <v>0.47000000000000003</v>
      </c>
      <c r="I34" s="12">
        <f>I33/I30</f>
        <v>0.47000000000000003</v>
      </c>
    </row>
    <row r="35" spans="1:11" x14ac:dyDescent="0.2">
      <c r="A35" t="s">
        <v>43</v>
      </c>
      <c r="B35" s="21"/>
      <c r="C35" s="25">
        <v>29915</v>
      </c>
      <c r="D35" s="25">
        <v>31370</v>
      </c>
      <c r="E35" s="25">
        <v>34550</v>
      </c>
      <c r="F35" s="16">
        <f>F30*F9</f>
        <v>38725.279229600004</v>
      </c>
      <c r="G35" s="16">
        <f>G30*G9</f>
        <v>41246.294907446958</v>
      </c>
      <c r="H35" s="16">
        <f>H30*H9</f>
        <v>43308.609652819308</v>
      </c>
      <c r="I35" s="16">
        <f>I30*I9</f>
        <v>45040.954038932075</v>
      </c>
    </row>
    <row r="36" spans="1:11" x14ac:dyDescent="0.2">
      <c r="A36" t="s">
        <v>44</v>
      </c>
      <c r="B36" s="21"/>
      <c r="C36" s="25">
        <v>24932</v>
      </c>
      <c r="D36" s="25">
        <v>26097</v>
      </c>
      <c r="E36" s="25">
        <v>27601</v>
      </c>
      <c r="F36" s="16">
        <f>F30*F10</f>
        <v>31169.127184800003</v>
      </c>
      <c r="G36" s="16">
        <f>G30*G10</f>
        <v>33198.237364530476</v>
      </c>
      <c r="H36" s="16">
        <f>H30*H10</f>
        <v>34858.149232757001</v>
      </c>
      <c r="I36" s="16">
        <f>I30*I10</f>
        <v>36252.475202067282</v>
      </c>
    </row>
    <row r="37" spans="1:11" x14ac:dyDescent="0.2">
      <c r="A37" t="s">
        <v>45</v>
      </c>
      <c r="B37" s="21"/>
      <c r="C37" s="16">
        <f>C35+C36</f>
        <v>54847</v>
      </c>
      <c r="D37" s="16">
        <f>D35+D36</f>
        <v>57467</v>
      </c>
      <c r="E37" s="16">
        <f>E35+E36</f>
        <v>62151</v>
      </c>
      <c r="F37" s="16">
        <f>F35+F36</f>
        <v>69894.4064144</v>
      </c>
      <c r="G37" s="16">
        <f>G35+G36</f>
        <v>74444.532271977427</v>
      </c>
      <c r="H37" s="16">
        <f>H35+H36</f>
        <v>78166.758885576302</v>
      </c>
      <c r="I37" s="16">
        <f>I35+I36</f>
        <v>81293.429240999365</v>
      </c>
    </row>
    <row r="38" spans="1:11" x14ac:dyDescent="0.2">
      <c r="A38" s="4" t="s">
        <v>46</v>
      </c>
      <c r="B38" s="19"/>
      <c r="C38" s="17">
        <f>C33-C37</f>
        <v>114301</v>
      </c>
      <c r="D38" s="17">
        <f>D33-D37</f>
        <v>123216</v>
      </c>
      <c r="E38" s="17">
        <f>E33-E37</f>
        <v>133050</v>
      </c>
      <c r="F38" s="17">
        <f>F33-F37</f>
        <v>152067.55990160001</v>
      </c>
      <c r="G38" s="17">
        <f>G33-G37</f>
        <v>161967.15805119413</v>
      </c>
      <c r="H38" s="17">
        <f>H33-H37</f>
        <v>170065.51595375387</v>
      </c>
      <c r="I38" s="17">
        <f>I33-I37</f>
        <v>176868.13659190401</v>
      </c>
    </row>
    <row r="39" spans="1:11" x14ac:dyDescent="0.2">
      <c r="A39" t="s">
        <v>47</v>
      </c>
      <c r="B39" s="21"/>
      <c r="C39" s="12">
        <f>C38/C30</f>
        <v>0.29821412265024722</v>
      </c>
      <c r="D39" s="12">
        <f>D38/D30</f>
        <v>0.31510222870075566</v>
      </c>
      <c r="E39" s="12">
        <f>E38/E30</f>
        <v>0.31970799762591884</v>
      </c>
      <c r="F39" s="12">
        <f>F38/F30</f>
        <v>0.32200000000000001</v>
      </c>
      <c r="G39" s="12">
        <f>G38/G30</f>
        <v>0.32199999999999995</v>
      </c>
      <c r="H39" s="12">
        <f>H38/H30</f>
        <v>0.32200000000000001</v>
      </c>
      <c r="I39" s="12">
        <f>I38/I30</f>
        <v>0.32200000000000001</v>
      </c>
    </row>
    <row r="40" spans="1:11" x14ac:dyDescent="0.2">
      <c r="A40" t="s">
        <v>48</v>
      </c>
      <c r="B40" s="21"/>
      <c r="C40" s="25">
        <v>-565</v>
      </c>
      <c r="D40" s="25">
        <v>269</v>
      </c>
      <c r="E40" s="25">
        <v>-321</v>
      </c>
      <c r="F40" s="16">
        <f>F30*F11</f>
        <v>0</v>
      </c>
      <c r="G40" s="16">
        <f>G30*G11</f>
        <v>0</v>
      </c>
      <c r="H40" s="16">
        <f>H30*H11</f>
        <v>0</v>
      </c>
      <c r="I40" s="16">
        <f>I30*I11</f>
        <v>0</v>
      </c>
      <c r="K40" t="s">
        <v>131</v>
      </c>
    </row>
    <row r="41" spans="1:11" x14ac:dyDescent="0.2">
      <c r="A41" t="s">
        <v>49</v>
      </c>
      <c r="B41" s="21"/>
      <c r="C41" s="25">
        <v>113736</v>
      </c>
      <c r="D41" s="25">
        <v>123485</v>
      </c>
      <c r="E41" s="25">
        <v>132729</v>
      </c>
      <c r="F41" s="16">
        <f>F38+F40</f>
        <v>152067.55990160001</v>
      </c>
      <c r="G41" s="16">
        <f>G38+G40</f>
        <v>161967.15805119413</v>
      </c>
      <c r="H41" s="16">
        <f>H38+H40</f>
        <v>170065.51595375387</v>
      </c>
      <c r="I41" s="16">
        <f>I38+I40</f>
        <v>176868.13659190401</v>
      </c>
    </row>
    <row r="42" spans="1:11" x14ac:dyDescent="0.2">
      <c r="A42" t="s">
        <v>50</v>
      </c>
      <c r="B42" s="21"/>
      <c r="C42" s="25">
        <v>16741</v>
      </c>
      <c r="D42" s="25">
        <v>29749</v>
      </c>
      <c r="E42" s="25">
        <v>20719</v>
      </c>
      <c r="F42" s="16">
        <f>F41*F12</f>
        <v>25091.147383764001</v>
      </c>
      <c r="G42" s="16">
        <f>G41*G12</f>
        <v>26724.581078447034</v>
      </c>
      <c r="H42" s="16">
        <f>H41*H12</f>
        <v>28060.810132369392</v>
      </c>
      <c r="I42" s="16">
        <f>I41*I12</f>
        <v>29183.242537664162</v>
      </c>
    </row>
    <row r="43" spans="1:11" x14ac:dyDescent="0.2">
      <c r="A43" s="4" t="s">
        <v>51</v>
      </c>
      <c r="B43" s="19"/>
      <c r="C43" s="24">
        <v>96995</v>
      </c>
      <c r="D43" s="24">
        <v>93736</v>
      </c>
      <c r="E43" s="24">
        <v>112010</v>
      </c>
      <c r="F43" s="17">
        <f>F41-F42</f>
        <v>126976.412517836</v>
      </c>
      <c r="G43" s="17">
        <f>G41-G42</f>
        <v>135242.57697274711</v>
      </c>
      <c r="H43" s="17">
        <f>H41-H42</f>
        <v>142004.70582138447</v>
      </c>
      <c r="I43" s="17">
        <f>I41-I42</f>
        <v>147684.89405423985</v>
      </c>
    </row>
    <row r="44" spans="1:11" x14ac:dyDescent="0.2">
      <c r="A44" t="s">
        <v>52</v>
      </c>
      <c r="B44" s="21"/>
      <c r="C44" s="12">
        <f>C43/C30</f>
        <v>0.25306234264320282</v>
      </c>
      <c r="D44" s="12">
        <f>D43/D30</f>
        <v>0.23971255769943867</v>
      </c>
      <c r="E44" s="12">
        <f>E43/E30</f>
        <v>0.26915064121818238</v>
      </c>
      <c r="F44" s="12">
        <f>F43/F30</f>
        <v>0.26887</v>
      </c>
      <c r="G44" s="12">
        <f>G43/G30</f>
        <v>0.26887</v>
      </c>
      <c r="H44" s="12">
        <f>H43/H30</f>
        <v>0.26887</v>
      </c>
      <c r="I44" s="12">
        <f>I43/I30</f>
        <v>0.26887</v>
      </c>
      <c r="K44" t="s">
        <v>133</v>
      </c>
    </row>
    <row r="45" spans="1:11" x14ac:dyDescent="0.2">
      <c r="B45" s="21"/>
    </row>
    <row r="46" spans="1:11" x14ac:dyDescent="0.2">
      <c r="B46" s="21"/>
    </row>
    <row r="47" spans="1:11" x14ac:dyDescent="0.2">
      <c r="B47" s="21"/>
    </row>
    <row r="48" spans="1:11" x14ac:dyDescent="0.2">
      <c r="B48" s="21"/>
    </row>
    <row r="49" spans="1:11" x14ac:dyDescent="0.2">
      <c r="B49" s="21"/>
    </row>
    <row r="50" spans="1:11" x14ac:dyDescent="0.2">
      <c r="B50" s="21"/>
    </row>
    <row r="51" spans="1:11" x14ac:dyDescent="0.2">
      <c r="B51" s="21"/>
    </row>
    <row r="52" spans="1:11" x14ac:dyDescent="0.2">
      <c r="A52" s="8" t="s">
        <v>11</v>
      </c>
      <c r="B52" s="20"/>
      <c r="C52" s="8"/>
      <c r="D52" s="8"/>
      <c r="E52" s="8"/>
      <c r="F52" s="8"/>
      <c r="G52" s="8"/>
      <c r="H52" s="8"/>
      <c r="I52" s="8"/>
    </row>
    <row r="53" spans="1:11" x14ac:dyDescent="0.2">
      <c r="B53" s="21"/>
    </row>
    <row r="54" spans="1:11" x14ac:dyDescent="0.2">
      <c r="A54" t="s">
        <v>75</v>
      </c>
      <c r="B54" s="23" t="s">
        <v>129</v>
      </c>
      <c r="C54" s="25">
        <v>162099</v>
      </c>
      <c r="D54" s="25">
        <v>156650</v>
      </c>
      <c r="E54" s="25">
        <v>132420</v>
      </c>
      <c r="F54" s="16">
        <f>F73-(F55+F56+F57+F58+F60+F61)</f>
        <v>153144.94147365034</v>
      </c>
      <c r="G54" s="16">
        <f>G73-(G55+G56+G57+G58+G60+G61)</f>
        <v>174396.71560396362</v>
      </c>
      <c r="H54" s="16">
        <f>H73-(H55+H56+H57+H58+H60+H61)</f>
        <v>196331.2018481626</v>
      </c>
      <c r="I54" s="16">
        <f>I73-(I55+I56+I57+I58+I60+I61)</f>
        <v>218831.73860191967</v>
      </c>
      <c r="K54" t="s">
        <v>134</v>
      </c>
    </row>
    <row r="55" spans="1:11" x14ac:dyDescent="0.2">
      <c r="A55" t="s">
        <v>55</v>
      </c>
      <c r="B55" s="21"/>
      <c r="C55" s="25">
        <v>29508</v>
      </c>
      <c r="D55" s="25">
        <v>33410</v>
      </c>
      <c r="E55" s="25">
        <v>39777</v>
      </c>
      <c r="F55" s="16">
        <f>Schedules!F6</f>
        <v>41403.572848219177</v>
      </c>
      <c r="G55" s="16">
        <f>Schedules!G6</f>
        <v>44098.945440638243</v>
      </c>
      <c r="H55" s="16">
        <f>Schedules!H6</f>
        <v>46303.892712670153</v>
      </c>
      <c r="I55" s="16">
        <f>Schedules!I6</f>
        <v>48156.048421176965</v>
      </c>
    </row>
    <row r="56" spans="1:11" x14ac:dyDescent="0.2">
      <c r="A56" t="s">
        <v>58</v>
      </c>
      <c r="B56" s="21"/>
      <c r="C56" s="25">
        <v>31477</v>
      </c>
      <c r="D56" s="25">
        <v>32833</v>
      </c>
      <c r="E56" s="25">
        <v>33180</v>
      </c>
      <c r="F56" s="16">
        <f>Schedules!F12</f>
        <v>37780.760224000005</v>
      </c>
      <c r="G56" s="16">
        <f>Schedules!G12</f>
        <v>40240.287714582395</v>
      </c>
      <c r="H56" s="16">
        <f>Schedules!H12</f>
        <v>42252.302100311521</v>
      </c>
      <c r="I56" s="16">
        <f>Schedules!I12</f>
        <v>43942.394184323981</v>
      </c>
    </row>
    <row r="57" spans="1:11" x14ac:dyDescent="0.2">
      <c r="A57" t="s">
        <v>56</v>
      </c>
      <c r="B57" s="21"/>
      <c r="C57" s="25">
        <v>6331</v>
      </c>
      <c r="D57" s="25">
        <v>7286</v>
      </c>
      <c r="E57" s="25">
        <v>5718</v>
      </c>
      <c r="F57" s="16">
        <f>Schedules!F8</f>
        <v>7543.213428284932</v>
      </c>
      <c r="G57" s="16">
        <f>Schedules!G8</f>
        <v>8034.276622466281</v>
      </c>
      <c r="H57" s="16">
        <f>Schedules!H8</f>
        <v>8435.9904535895948</v>
      </c>
      <c r="I57" s="16">
        <f>Schedules!I8</f>
        <v>8773.4300717331789</v>
      </c>
    </row>
    <row r="58" spans="1:11" x14ac:dyDescent="0.2">
      <c r="A58" t="s">
        <v>59</v>
      </c>
      <c r="B58" s="21"/>
      <c r="C58" s="25">
        <v>14695</v>
      </c>
      <c r="D58" s="25">
        <v>14287</v>
      </c>
      <c r="E58" s="25">
        <v>14585</v>
      </c>
      <c r="F58" s="16">
        <f>Schedules!F13</f>
        <v>16529.082598000001</v>
      </c>
      <c r="G58" s="16">
        <f>Schedules!G13</f>
        <v>17605.125875129801</v>
      </c>
      <c r="H58" s="16">
        <f>Schedules!H13</f>
        <v>18485.382168886292</v>
      </c>
      <c r="I58" s="16">
        <f>Schedules!I13</f>
        <v>19224.797455641743</v>
      </c>
    </row>
    <row r="59" spans="1:11" x14ac:dyDescent="0.2">
      <c r="A59" s="4" t="s">
        <v>76</v>
      </c>
      <c r="B59" s="19"/>
      <c r="C59" s="17">
        <f>SUM(C54:C58)</f>
        <v>244110</v>
      </c>
      <c r="D59" s="17">
        <f>SUM(D54:D58)</f>
        <v>244466</v>
      </c>
      <c r="E59" s="17">
        <f>SUM(E54:E58)</f>
        <v>225680</v>
      </c>
      <c r="F59" s="17">
        <f>SUM(F54:F58)</f>
        <v>256401.57057215448</v>
      </c>
      <c r="G59" s="17">
        <f>SUM(G54:G58)</f>
        <v>284375.35125678033</v>
      </c>
      <c r="H59" s="17">
        <f>SUM(H54:H58)</f>
        <v>311808.76928362017</v>
      </c>
      <c r="I59" s="17">
        <f>SUM(I54:I58)</f>
        <v>338928.40873479552</v>
      </c>
    </row>
    <row r="60" spans="1:11" x14ac:dyDescent="0.2">
      <c r="A60" t="s">
        <v>77</v>
      </c>
      <c r="B60" s="21"/>
      <c r="C60" s="25">
        <v>43715</v>
      </c>
      <c r="D60" s="25">
        <v>45680</v>
      </c>
      <c r="E60" s="25">
        <v>49834</v>
      </c>
      <c r="F60" s="16">
        <f>Schedules!F22</f>
        <v>27194.434915999998</v>
      </c>
      <c r="G60" s="16">
        <f>Schedules!G22</f>
        <v>7481.2730873115988</v>
      </c>
      <c r="H60" s="16">
        <f>Schedules!H22</f>
        <v>-9635.1566251481927</v>
      </c>
      <c r="I60" s="16">
        <f>Schedules!I22</f>
        <v>-24475.57781799449</v>
      </c>
      <c r="K60" t="s">
        <v>135</v>
      </c>
    </row>
    <row r="61" spans="1:11" x14ac:dyDescent="0.2">
      <c r="A61" t="s">
        <v>78</v>
      </c>
      <c r="B61" s="21"/>
      <c r="C61" s="25">
        <v>64758</v>
      </c>
      <c r="D61" s="25">
        <v>74834</v>
      </c>
      <c r="E61" s="25">
        <v>83727</v>
      </c>
      <c r="F61" s="16">
        <f>F30*F23</f>
        <v>94451.900560000009</v>
      </c>
      <c r="G61" s="16">
        <f>G30*G23</f>
        <v>100600.71928645601</v>
      </c>
      <c r="H61" s="16">
        <f>H30*H23</f>
        <v>105630.75525077881</v>
      </c>
      <c r="I61" s="16">
        <f>I30*I23</f>
        <v>109855.98546080996</v>
      </c>
    </row>
    <row r="62" spans="1:11" x14ac:dyDescent="0.2">
      <c r="A62" s="4" t="s">
        <v>79</v>
      </c>
      <c r="B62" s="19"/>
      <c r="C62" s="17">
        <f>C59+C60+C61</f>
        <v>352583</v>
      </c>
      <c r="D62" s="17">
        <f>D59+D60+D61</f>
        <v>364980</v>
      </c>
      <c r="E62" s="17">
        <f>E59+E60+E61</f>
        <v>359241</v>
      </c>
      <c r="F62" s="17">
        <f>F59+F60+F61</f>
        <v>378047.90604815446</v>
      </c>
      <c r="G62" s="17">
        <f>G59+G60+G61</f>
        <v>392457.34363054793</v>
      </c>
      <c r="H62" s="17">
        <f>H59+H60+H61</f>
        <v>407804.36790925078</v>
      </c>
      <c r="I62" s="17">
        <f>I59+I60+I61</f>
        <v>424308.81637761096</v>
      </c>
    </row>
    <row r="63" spans="1:11" x14ac:dyDescent="0.2">
      <c r="B63" s="21"/>
      <c r="C63" s="16"/>
      <c r="D63" s="16"/>
      <c r="E63" s="16"/>
      <c r="F63" s="16"/>
      <c r="G63" s="16"/>
      <c r="H63" s="16"/>
      <c r="I63" s="16"/>
    </row>
    <row r="64" spans="1:11" x14ac:dyDescent="0.2">
      <c r="A64" t="s">
        <v>57</v>
      </c>
      <c r="B64" s="21"/>
      <c r="C64" s="25">
        <v>62611</v>
      </c>
      <c r="D64" s="25">
        <v>68960</v>
      </c>
      <c r="E64" s="25">
        <v>69860</v>
      </c>
      <c r="F64" s="16">
        <f>Schedules!F10</f>
        <v>78860.867659342475</v>
      </c>
      <c r="G64" s="16">
        <f>Schedules!G10</f>
        <v>83994.710143965669</v>
      </c>
      <c r="H64" s="16">
        <f>Schedules!H10</f>
        <v>88194.445651163944</v>
      </c>
      <c r="I64" s="16">
        <f>Schedules!I10</f>
        <v>91722.2234772105</v>
      </c>
    </row>
    <row r="65" spans="1:11" x14ac:dyDescent="0.2">
      <c r="A65" t="s">
        <v>60</v>
      </c>
      <c r="B65" s="21"/>
      <c r="C65" s="25">
        <v>58829</v>
      </c>
      <c r="D65" s="25">
        <v>78304</v>
      </c>
      <c r="E65" s="25">
        <v>66387</v>
      </c>
      <c r="F65" s="16">
        <f>Schedules!F14</f>
        <v>75561.52044800001</v>
      </c>
      <c r="G65" s="16">
        <f>Schedules!G14</f>
        <v>80480.57542916479</v>
      </c>
      <c r="H65" s="16">
        <f>Schedules!H14</f>
        <v>84504.604200623042</v>
      </c>
      <c r="I65" s="16">
        <f>Schedules!I14</f>
        <v>87884.788368647962</v>
      </c>
    </row>
    <row r="66" spans="1:11" x14ac:dyDescent="0.2">
      <c r="A66" t="s">
        <v>61</v>
      </c>
      <c r="B66" s="21"/>
      <c r="C66" s="25">
        <v>8061</v>
      </c>
      <c r="D66" s="25">
        <v>8249</v>
      </c>
      <c r="E66" s="25">
        <v>9055</v>
      </c>
      <c r="F66" s="16">
        <f>Schedules!F15</f>
        <v>10389.7090616</v>
      </c>
      <c r="G66" s="16">
        <f>Schedules!G15</f>
        <v>11066.079121510158</v>
      </c>
      <c r="H66" s="16">
        <f>Schedules!H15</f>
        <v>11619.383077585666</v>
      </c>
      <c r="I66" s="16">
        <f>Schedules!I15</f>
        <v>12084.158400689093</v>
      </c>
    </row>
    <row r="67" spans="1:11" x14ac:dyDescent="0.2">
      <c r="A67" t="s">
        <v>80</v>
      </c>
      <c r="B67" s="21"/>
      <c r="C67" s="16">
        <f>SUM(C64:C66)</f>
        <v>129501</v>
      </c>
      <c r="D67" s="16">
        <f>SUM(D64:D66)</f>
        <v>155513</v>
      </c>
      <c r="E67" s="16">
        <f>SUM(E64:E66)</f>
        <v>145302</v>
      </c>
      <c r="F67" s="16">
        <f>SUM(F64:F66)</f>
        <v>164812.09716894248</v>
      </c>
      <c r="G67" s="16">
        <f>SUM(G64:G66)</f>
        <v>175541.36469464062</v>
      </c>
      <c r="H67" s="16">
        <f>SUM(H64:H66)</f>
        <v>184318.43292937265</v>
      </c>
      <c r="I67" s="16">
        <f>SUM(I64:I66)</f>
        <v>191691.17024654758</v>
      </c>
      <c r="K67" t="s">
        <v>136</v>
      </c>
    </row>
    <row r="68" spans="1:11" x14ac:dyDescent="0.2">
      <c r="A68" t="s">
        <v>81</v>
      </c>
      <c r="B68" s="21"/>
      <c r="C68" s="25">
        <v>15807</v>
      </c>
      <c r="D68" s="25">
        <v>20879</v>
      </c>
      <c r="E68" s="25">
        <v>20329</v>
      </c>
      <c r="F68" s="16">
        <f>$E$68</f>
        <v>20329</v>
      </c>
      <c r="G68" s="16">
        <f>$E$68</f>
        <v>20329</v>
      </c>
      <c r="H68" s="16">
        <f>$E$68</f>
        <v>20329</v>
      </c>
      <c r="I68" s="16">
        <f>$E$68</f>
        <v>20329</v>
      </c>
    </row>
    <row r="69" spans="1:11" x14ac:dyDescent="0.2">
      <c r="A69" t="s">
        <v>82</v>
      </c>
      <c r="B69" s="21"/>
      <c r="C69" s="25">
        <v>95281</v>
      </c>
      <c r="D69" s="25">
        <v>85750</v>
      </c>
      <c r="E69" s="25">
        <v>78328</v>
      </c>
      <c r="F69" s="16">
        <f>$E$69</f>
        <v>78328</v>
      </c>
      <c r="G69" s="16">
        <f>$E$69</f>
        <v>78328</v>
      </c>
      <c r="H69" s="16">
        <f>$E$69</f>
        <v>78328</v>
      </c>
      <c r="I69" s="16">
        <f>$E$69</f>
        <v>78328</v>
      </c>
    </row>
    <row r="70" spans="1:11" x14ac:dyDescent="0.2">
      <c r="A70" t="s">
        <v>83</v>
      </c>
      <c r="B70" s="21"/>
      <c r="C70" s="25">
        <v>49848</v>
      </c>
      <c r="D70" s="25">
        <v>45888</v>
      </c>
      <c r="E70" s="25">
        <v>41549</v>
      </c>
      <c r="F70" s="16">
        <f>F30*F24</f>
        <v>47225.950280000005</v>
      </c>
      <c r="G70" s="16">
        <f>G30*G24</f>
        <v>50300.359643228003</v>
      </c>
      <c r="H70" s="16">
        <f>H30*H24</f>
        <v>52815.377625389403</v>
      </c>
      <c r="I70" s="16">
        <f>I30*I24</f>
        <v>54927.992730404978</v>
      </c>
    </row>
    <row r="71" spans="1:11" x14ac:dyDescent="0.2">
      <c r="A71" s="4" t="s">
        <v>84</v>
      </c>
      <c r="B71" s="19"/>
      <c r="C71" s="17">
        <f>C67+C68+C69+C70</f>
        <v>290437</v>
      </c>
      <c r="D71" s="17">
        <f>D67+D68+D69+D70</f>
        <v>308030</v>
      </c>
      <c r="E71" s="17">
        <f>E67+E68+E69+E70</f>
        <v>285508</v>
      </c>
      <c r="F71" s="17">
        <f>F67+F68+F69+F70</f>
        <v>310695.04744894244</v>
      </c>
      <c r="G71" s="17">
        <f>G67+G68+G69+G70</f>
        <v>324498.72433786863</v>
      </c>
      <c r="H71" s="17">
        <f>H67+H68+H69+H70</f>
        <v>335790.81055476202</v>
      </c>
      <c r="I71" s="17">
        <f>I67+I68+I69+I70</f>
        <v>345276.1629769525</v>
      </c>
    </row>
    <row r="72" spans="1:11" x14ac:dyDescent="0.2">
      <c r="A72" t="s">
        <v>85</v>
      </c>
      <c r="B72" s="21"/>
      <c r="C72" s="25">
        <v>62146</v>
      </c>
      <c r="D72" s="25">
        <v>56950</v>
      </c>
      <c r="E72" s="25">
        <v>73733</v>
      </c>
      <c r="F72" s="16">
        <f>Schedules!F31</f>
        <v>67352.858599212021</v>
      </c>
      <c r="G72" s="16">
        <f>Schedules!G31</f>
        <v>67958.619292679301</v>
      </c>
      <c r="H72" s="16">
        <f>Schedules!H31</f>
        <v>72013.55735448873</v>
      </c>
      <c r="I72" s="16">
        <f>Schedules!I31</f>
        <v>79032.653400658543</v>
      </c>
    </row>
    <row r="73" spans="1:11" x14ac:dyDescent="0.2">
      <c r="A73" s="4" t="s">
        <v>86</v>
      </c>
      <c r="B73" s="19"/>
      <c r="C73" s="17">
        <f>C71+C72</f>
        <v>352583</v>
      </c>
      <c r="D73" s="17">
        <f>D71+D72</f>
        <v>364980</v>
      </c>
      <c r="E73" s="17">
        <f>E71+E72</f>
        <v>359241</v>
      </c>
      <c r="F73" s="17">
        <f>F71+F72</f>
        <v>378047.90604815446</v>
      </c>
      <c r="G73" s="17">
        <f>G71+G72</f>
        <v>392457.34363054793</v>
      </c>
      <c r="H73" s="17">
        <f>H71+H72</f>
        <v>407804.36790925078</v>
      </c>
      <c r="I73" s="17">
        <f>I71+I72</f>
        <v>424308.81637761102</v>
      </c>
    </row>
    <row r="74" spans="1:11" x14ac:dyDescent="0.2">
      <c r="B74" s="21"/>
    </row>
    <row r="75" spans="1:11" x14ac:dyDescent="0.2">
      <c r="B75" s="21"/>
    </row>
    <row r="76" spans="1:11" x14ac:dyDescent="0.2">
      <c r="B76" s="21"/>
    </row>
    <row r="77" spans="1:11" x14ac:dyDescent="0.2">
      <c r="B77" s="21"/>
    </row>
    <row r="78" spans="1:11" x14ac:dyDescent="0.2">
      <c r="B78" s="21"/>
    </row>
    <row r="79" spans="1:11" x14ac:dyDescent="0.2">
      <c r="B79" s="21"/>
    </row>
    <row r="80" spans="1:11" x14ac:dyDescent="0.2">
      <c r="A80" s="8" t="s">
        <v>12</v>
      </c>
      <c r="B80" s="20"/>
      <c r="C80" s="8"/>
      <c r="D80" s="8"/>
      <c r="E80" s="8"/>
      <c r="F80" s="8"/>
      <c r="G80" s="8"/>
      <c r="H80" s="8"/>
      <c r="I80" s="8"/>
    </row>
    <row r="81" spans="1:9" x14ac:dyDescent="0.2">
      <c r="B81" s="21"/>
    </row>
    <row r="82" spans="1:9" x14ac:dyDescent="0.2">
      <c r="A82" t="s">
        <v>51</v>
      </c>
      <c r="B82" s="23" t="s">
        <v>130</v>
      </c>
      <c r="C82" s="25">
        <v>96995</v>
      </c>
      <c r="D82" s="25">
        <v>93736</v>
      </c>
      <c r="E82" s="25">
        <v>112010</v>
      </c>
      <c r="F82" s="16">
        <f>F43</f>
        <v>126976.412517836</v>
      </c>
      <c r="G82" s="16">
        <f>G43</f>
        <v>135242.57697274711</v>
      </c>
      <c r="H82" s="16">
        <f>H43</f>
        <v>142004.70582138447</v>
      </c>
      <c r="I82" s="16">
        <f>I43</f>
        <v>147684.89405423985</v>
      </c>
    </row>
    <row r="83" spans="1:9" x14ac:dyDescent="0.2">
      <c r="A83" t="s">
        <v>87</v>
      </c>
      <c r="C83" s="25">
        <v>11519</v>
      </c>
      <c r="D83" s="25">
        <v>11445</v>
      </c>
      <c r="E83" s="25">
        <v>11698</v>
      </c>
      <c r="F83" s="16">
        <f>-Schedules!F20 + (F30*F14)</f>
        <v>12722.115525200001</v>
      </c>
      <c r="G83" s="16">
        <f>-Schedules!G20 + (G30*G14)</f>
        <v>9150.0863036105202</v>
      </c>
      <c r="H83" s="16">
        <f>-Schedules!H20 + (H30*H14)</f>
        <v>6025.2004111280175</v>
      </c>
      <c r="I83" s="16">
        <f>-Schedules!I20 + (I30*I14)</f>
        <v>3305.5427194612539</v>
      </c>
    </row>
    <row r="84" spans="1:9" x14ac:dyDescent="0.2">
      <c r="A84" t="s">
        <v>70</v>
      </c>
      <c r="C84" s="25">
        <v>10833</v>
      </c>
      <c r="D84" s="25">
        <v>11688</v>
      </c>
      <c r="E84" s="25">
        <v>12863</v>
      </c>
      <c r="F84" s="16">
        <f>F30*F27</f>
        <v>14167.785083999999</v>
      </c>
      <c r="G84" s="16">
        <f>G30*G27</f>
        <v>15090.107892968399</v>
      </c>
      <c r="H84" s="16">
        <f>H30*H27</f>
        <v>15844.613287616819</v>
      </c>
      <c r="I84" s="16">
        <f>I30*I27</f>
        <v>16478.397819121492</v>
      </c>
    </row>
    <row r="85" spans="1:9" x14ac:dyDescent="0.2">
      <c r="A85" t="s">
        <v>88</v>
      </c>
      <c r="C85" s="25">
        <v>-2227</v>
      </c>
      <c r="D85" s="25">
        <v>-2266</v>
      </c>
      <c r="E85" s="25">
        <v>-89</v>
      </c>
      <c r="F85" s="25">
        <v>0</v>
      </c>
      <c r="G85" s="25">
        <v>0</v>
      </c>
      <c r="H85" s="25">
        <v>0</v>
      </c>
      <c r="I85" s="25">
        <v>0</v>
      </c>
    </row>
    <row r="86" spans="1:9" x14ac:dyDescent="0.2">
      <c r="A86" t="s">
        <v>89</v>
      </c>
      <c r="C86" s="25">
        <v>-1688</v>
      </c>
      <c r="D86" s="25">
        <v>-3788</v>
      </c>
      <c r="E86" s="25">
        <v>-6682</v>
      </c>
      <c r="F86" s="16">
        <f>-(F55-E55)</f>
        <v>-1626.5728482191771</v>
      </c>
      <c r="G86" s="16">
        <f>-(G55-F55)</f>
        <v>-2695.3725924190658</v>
      </c>
      <c r="H86" s="16">
        <f>-(H55-G55)</f>
        <v>-2204.94727203191</v>
      </c>
      <c r="I86" s="16">
        <f>-(I55-H55)</f>
        <v>-1852.1557085068125</v>
      </c>
    </row>
    <row r="87" spans="1:9" x14ac:dyDescent="0.2">
      <c r="A87" t="s">
        <v>90</v>
      </c>
      <c r="C87" s="25">
        <v>1271</v>
      </c>
      <c r="D87" s="25">
        <v>-1356</v>
      </c>
      <c r="E87" s="25">
        <v>-347</v>
      </c>
      <c r="F87" s="16">
        <f>-(F56-E56)</f>
        <v>-4600.7602240000051</v>
      </c>
      <c r="G87" s="16">
        <f>-(G56-F56)</f>
        <v>-2459.5274905823899</v>
      </c>
      <c r="H87" s="16">
        <f>-(H56-G56)</f>
        <v>-2012.0143857291259</v>
      </c>
      <c r="I87" s="16">
        <f>-(I56-H56)</f>
        <v>-1690.09208401246</v>
      </c>
    </row>
    <row r="88" spans="1:9" x14ac:dyDescent="0.2">
      <c r="A88" t="s">
        <v>91</v>
      </c>
      <c r="C88" s="25">
        <v>-1618</v>
      </c>
      <c r="D88" s="25">
        <v>-1046</v>
      </c>
      <c r="E88" s="25">
        <v>1400</v>
      </c>
      <c r="F88" s="16">
        <f>-(F57-E57)</f>
        <v>-1825.213428284932</v>
      </c>
      <c r="G88" s="16">
        <f>-(G57-F57)</f>
        <v>-491.06319418134899</v>
      </c>
      <c r="H88" s="16">
        <f>-(H57-G57)</f>
        <v>-401.71383112331387</v>
      </c>
      <c r="I88" s="16">
        <f>-(I57-H57)</f>
        <v>-337.43961814358408</v>
      </c>
    </row>
    <row r="89" spans="1:9" x14ac:dyDescent="0.2">
      <c r="A89" t="s">
        <v>92</v>
      </c>
      <c r="C89" s="25">
        <v>-5684</v>
      </c>
      <c r="D89" s="25">
        <v>-11731</v>
      </c>
      <c r="E89" s="25">
        <v>-9197</v>
      </c>
      <c r="F89" s="16">
        <f>-((F58+F61)-(E58+E61))</f>
        <v>-12668.983158000017</v>
      </c>
      <c r="G89" s="16">
        <f>-((G58+G61)-(F58+F61))</f>
        <v>-7224.8620035857894</v>
      </c>
      <c r="H89" s="16">
        <f>-((H58+H61)-(G58+G61))</f>
        <v>-5910.2922580792947</v>
      </c>
      <c r="I89" s="16">
        <f>-((I58+I61)-(H58+H61))</f>
        <v>-4964.6454967866011</v>
      </c>
    </row>
    <row r="90" spans="1:9" x14ac:dyDescent="0.2">
      <c r="A90" t="s">
        <v>93</v>
      </c>
      <c r="C90" s="25">
        <v>-1889</v>
      </c>
      <c r="D90" s="25">
        <v>6020</v>
      </c>
      <c r="E90" s="25">
        <v>902</v>
      </c>
      <c r="F90" s="16">
        <f>(F64-E64)</f>
        <v>9000.8676593424752</v>
      </c>
      <c r="G90" s="16">
        <f>(G64-F64)</f>
        <v>5133.8424846231937</v>
      </c>
      <c r="H90" s="16">
        <f>(H64-G64)</f>
        <v>4199.7355071982747</v>
      </c>
      <c r="I90" s="16">
        <f>(I64-H64)</f>
        <v>3527.7778260465566</v>
      </c>
    </row>
    <row r="91" spans="1:9" x14ac:dyDescent="0.2">
      <c r="A91" t="s">
        <v>94</v>
      </c>
      <c r="C91" s="25">
        <v>3031</v>
      </c>
      <c r="D91" s="25">
        <v>15552</v>
      </c>
      <c r="E91" s="25">
        <v>-11076</v>
      </c>
      <c r="F91" s="16">
        <f>((F65+F66+F70)-(E65+E66+E70))</f>
        <v>16186.179789600021</v>
      </c>
      <c r="G91" s="16">
        <f>((G65+G66+G70)-(F65+F66+F70))</f>
        <v>8669.8344043029356</v>
      </c>
      <c r="H91" s="16">
        <f>((H65+H66+H70)-(G65+G66+G70))</f>
        <v>7092.3507096951362</v>
      </c>
      <c r="I91" s="16">
        <f>((I65+I66+I70)-(H65+H66+H70))</f>
        <v>5957.5745961439388</v>
      </c>
    </row>
    <row r="92" spans="1:9" x14ac:dyDescent="0.2">
      <c r="A92" s="4" t="s">
        <v>95</v>
      </c>
      <c r="B92" s="4"/>
      <c r="C92" s="24">
        <v>110543</v>
      </c>
      <c r="D92" s="24">
        <v>118254</v>
      </c>
      <c r="E92" s="24">
        <v>111482</v>
      </c>
      <c r="F92" s="17">
        <f>SUM(F82:F91)</f>
        <v>158331.83091747438</v>
      </c>
      <c r="G92" s="17">
        <f>SUM(G82:G91)</f>
        <v>160415.62277748354</v>
      </c>
      <c r="H92" s="17">
        <f>SUM(H82:H91)</f>
        <v>164637.63799005904</v>
      </c>
      <c r="I92" s="17">
        <f>SUM(I82:I91)</f>
        <v>168109.85410756365</v>
      </c>
    </row>
    <row r="93" spans="1:9" x14ac:dyDescent="0.2">
      <c r="A93" t="s">
        <v>96</v>
      </c>
      <c r="C93" s="25">
        <v>-10959</v>
      </c>
      <c r="D93" s="25">
        <v>-9447</v>
      </c>
      <c r="E93" s="25">
        <v>-12715</v>
      </c>
      <c r="F93" s="16">
        <f>-F30*F15</f>
        <v>-14167.785083999999</v>
      </c>
      <c r="G93" s="16">
        <f>-G30*G15</f>
        <v>-15090.107892968399</v>
      </c>
      <c r="H93" s="16">
        <f>-H30*H15</f>
        <v>-15844.613287616819</v>
      </c>
      <c r="I93" s="16">
        <f>-I30*I15</f>
        <v>-16478.397819121492</v>
      </c>
    </row>
    <row r="94" spans="1:9" x14ac:dyDescent="0.2">
      <c r="A94" t="s">
        <v>97</v>
      </c>
      <c r="C94" s="25">
        <v>-1337</v>
      </c>
      <c r="D94" s="25">
        <v>-1308</v>
      </c>
      <c r="E94" s="25">
        <v>-1480</v>
      </c>
      <c r="F94" s="25">
        <v>0</v>
      </c>
      <c r="G94" s="25">
        <v>0</v>
      </c>
      <c r="H94" s="25">
        <v>0</v>
      </c>
      <c r="I94" s="25">
        <v>0</v>
      </c>
    </row>
    <row r="95" spans="1:9" x14ac:dyDescent="0.2">
      <c r="A95" s="4" t="s">
        <v>98</v>
      </c>
      <c r="B95" s="4"/>
      <c r="C95" s="17">
        <f>C92+C93+C94</f>
        <v>98247</v>
      </c>
      <c r="D95" s="17">
        <f>D92+D93+D94</f>
        <v>107499</v>
      </c>
      <c r="E95" s="17">
        <f>E92+E93+E94</f>
        <v>97287</v>
      </c>
      <c r="F95" s="17">
        <f>F92+F93+F94</f>
        <v>144164.04583347437</v>
      </c>
      <c r="G95" s="17">
        <f>G92+G93+G94</f>
        <v>145325.51488451514</v>
      </c>
      <c r="H95" s="17">
        <f>H92+H93+H94</f>
        <v>148793.02470244223</v>
      </c>
      <c r="I95" s="17">
        <f>I92+I93+I94</f>
        <v>151631.45628844216</v>
      </c>
    </row>
    <row r="96" spans="1:9" x14ac:dyDescent="0.2">
      <c r="A96" t="s">
        <v>72</v>
      </c>
      <c r="C96" s="25">
        <v>-15025</v>
      </c>
      <c r="D96" s="25">
        <v>-15234</v>
      </c>
      <c r="E96" s="25">
        <v>-15421</v>
      </c>
      <c r="F96" s="16">
        <f>-F82*F25</f>
        <v>-17776.697752497043</v>
      </c>
      <c r="G96" s="16">
        <f>-G82*G25</f>
        <v>-18933.960776184598</v>
      </c>
      <c r="H96" s="16">
        <f>-H82*H25</f>
        <v>-19880.658814993829</v>
      </c>
      <c r="I96" s="16">
        <f>-I82*I25</f>
        <v>-20675.88516759358</v>
      </c>
    </row>
    <row r="97" spans="1:9" x14ac:dyDescent="0.2">
      <c r="A97" t="s">
        <v>73</v>
      </c>
      <c r="C97" s="25">
        <v>-77550</v>
      </c>
      <c r="D97" s="25">
        <v>-94949</v>
      </c>
      <c r="E97" s="25">
        <v>-90711</v>
      </c>
      <c r="F97" s="16">
        <f>-F95*F26</f>
        <v>-129747.64125012694</v>
      </c>
      <c r="G97" s="16">
        <f>-G95*G26</f>
        <v>-130792.96339606363</v>
      </c>
      <c r="H97" s="16">
        <f>-H95*H26</f>
        <v>-133913.72223219802</v>
      </c>
      <c r="I97" s="16">
        <f>-I95*I26</f>
        <v>-136468.31065959795</v>
      </c>
    </row>
    <row r="98" spans="1:9" x14ac:dyDescent="0.2">
      <c r="A98" t="s">
        <v>99</v>
      </c>
      <c r="C98" s="25">
        <v>-9901</v>
      </c>
      <c r="D98" s="25">
        <v>-5998</v>
      </c>
      <c r="E98" s="25">
        <v>-8483</v>
      </c>
      <c r="F98" s="25">
        <v>0</v>
      </c>
      <c r="G98" s="25">
        <v>0</v>
      </c>
      <c r="H98" s="25">
        <v>0</v>
      </c>
      <c r="I98" s="25">
        <v>0</v>
      </c>
    </row>
    <row r="99" spans="1:9" x14ac:dyDescent="0.2">
      <c r="A99" t="s">
        <v>100</v>
      </c>
      <c r="C99" s="25">
        <v>-6012</v>
      </c>
      <c r="D99" s="25">
        <v>-5802</v>
      </c>
      <c r="E99" s="25">
        <v>-6071</v>
      </c>
      <c r="F99" s="25">
        <v>0</v>
      </c>
      <c r="G99" s="25">
        <v>0</v>
      </c>
      <c r="H99" s="25">
        <v>0</v>
      </c>
      <c r="I99" s="25">
        <v>0</v>
      </c>
    </row>
    <row r="100" spans="1:9" x14ac:dyDescent="0.2">
      <c r="A100" s="4" t="s">
        <v>101</v>
      </c>
      <c r="B100" s="4"/>
      <c r="C100" s="17">
        <f>SUM(C92:C99)</f>
        <v>88006</v>
      </c>
      <c r="D100" s="17">
        <f>SUM(D92:D99)</f>
        <v>93015</v>
      </c>
      <c r="E100" s="17">
        <f>SUM(E92:E99)</f>
        <v>73888</v>
      </c>
      <c r="F100" s="17">
        <f>SUM(F92:F99)</f>
        <v>140803.75266432477</v>
      </c>
      <c r="G100" s="17">
        <f>SUM(G92:G99)</f>
        <v>140924.10559678209</v>
      </c>
      <c r="H100" s="17">
        <f>SUM(H92:H99)</f>
        <v>143791.66835769263</v>
      </c>
      <c r="I100" s="17">
        <f>SUM(I92:I99)</f>
        <v>146118.71674969277</v>
      </c>
    </row>
    <row r="101" spans="1:9" x14ac:dyDescent="0.2">
      <c r="A101" t="s">
        <v>102</v>
      </c>
      <c r="C101" s="16"/>
      <c r="D101" s="16">
        <f>C54</f>
        <v>162099</v>
      </c>
      <c r="E101" s="16">
        <f>D54</f>
        <v>156650</v>
      </c>
      <c r="F101" s="16">
        <f>E54</f>
        <v>132420</v>
      </c>
      <c r="G101" s="16">
        <f>F54</f>
        <v>153144.94147365034</v>
      </c>
      <c r="H101" s="16">
        <f>G54</f>
        <v>174396.71560396362</v>
      </c>
      <c r="I101" s="16">
        <f>H54</f>
        <v>196331.2018481626</v>
      </c>
    </row>
    <row r="102" spans="1:9" x14ac:dyDescent="0.2">
      <c r="A102" s="4" t="s">
        <v>103</v>
      </c>
      <c r="B102" s="4"/>
      <c r="C102" s="17">
        <f>C54</f>
        <v>162099</v>
      </c>
      <c r="D102" s="17">
        <f>D54</f>
        <v>156650</v>
      </c>
      <c r="E102" s="17">
        <f>E54</f>
        <v>132420</v>
      </c>
      <c r="F102" s="17">
        <f>F54</f>
        <v>153144.94147365034</v>
      </c>
      <c r="G102" s="17">
        <f>G54</f>
        <v>174396.71560396362</v>
      </c>
      <c r="H102" s="17">
        <f>H54</f>
        <v>196331.2018481626</v>
      </c>
      <c r="I102" s="17">
        <f>I54</f>
        <v>218831.73860191967</v>
      </c>
    </row>
    <row r="112" spans="1:9" x14ac:dyDescent="0.2">
      <c r="A112" s="9" t="s">
        <v>13</v>
      </c>
      <c r="B112" s="9"/>
      <c r="C112" s="9"/>
      <c r="D112" s="9"/>
      <c r="E112" s="9"/>
      <c r="F112" s="9"/>
      <c r="G112" s="9"/>
      <c r="H112" s="9"/>
      <c r="I112" s="9"/>
    </row>
    <row r="113" spans="1:9" x14ac:dyDescent="0.2">
      <c r="A113" s="7" t="s">
        <v>104</v>
      </c>
      <c r="B113" s="7"/>
      <c r="C113" s="17">
        <f>C62-C73</f>
        <v>0</v>
      </c>
      <c r="D113" s="17">
        <f>D62-D73</f>
        <v>0</v>
      </c>
      <c r="E113" s="17">
        <f>E62-E73</f>
        <v>0</v>
      </c>
      <c r="F113" s="17">
        <f>F62-F73</f>
        <v>0</v>
      </c>
      <c r="G113" s="17">
        <f>G62-G73</f>
        <v>0</v>
      </c>
      <c r="H113" s="17">
        <f>H62-H73</f>
        <v>0</v>
      </c>
      <c r="I113" s="17">
        <f>I62-I73</f>
        <v>0</v>
      </c>
    </row>
  </sheetData>
  <mergeCells count="8">
    <mergeCell ref="A112:I112"/>
    <mergeCell ref="A113:B113"/>
    <mergeCell ref="A1:I1"/>
    <mergeCell ref="A2:I2"/>
    <mergeCell ref="A6:I6"/>
    <mergeCell ref="A28:I28"/>
    <mergeCell ref="A52:I52"/>
    <mergeCell ref="A80:I8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298BD9-0DC4-4FDB-831F-BBBBAB3A4E9B}">
  <dimension ref="A1:I31"/>
  <sheetViews>
    <sheetView tabSelected="1" workbookViewId="0">
      <selection activeCell="L22" sqref="L22"/>
    </sheetView>
  </sheetViews>
  <sheetFormatPr defaultRowHeight="12.75" x14ac:dyDescent="0.2"/>
  <cols>
    <col min="1" max="1" width="38.42578125" customWidth="1"/>
  </cols>
  <sheetData>
    <row r="1" spans="1:9" ht="20.25" x14ac:dyDescent="0.3">
      <c r="A1" s="10" t="s">
        <v>14</v>
      </c>
      <c r="B1" s="1"/>
      <c r="C1" s="1"/>
      <c r="D1" s="1"/>
      <c r="E1" s="1"/>
      <c r="F1" s="1"/>
      <c r="G1" s="1"/>
      <c r="H1" s="1"/>
    </row>
    <row r="3" spans="1:9" x14ac:dyDescent="0.2">
      <c r="A3" s="6" t="s">
        <v>53</v>
      </c>
      <c r="B3" s="6"/>
      <c r="C3" s="6" t="s">
        <v>2</v>
      </c>
      <c r="D3" s="6" t="s">
        <v>3</v>
      </c>
      <c r="E3" s="6" t="s">
        <v>4</v>
      </c>
      <c r="F3" s="6" t="s">
        <v>5</v>
      </c>
      <c r="G3" s="6" t="s">
        <v>6</v>
      </c>
      <c r="H3" s="6" t="s">
        <v>7</v>
      </c>
      <c r="I3" s="6" t="s">
        <v>8</v>
      </c>
    </row>
    <row r="5" spans="1:9" x14ac:dyDescent="0.2">
      <c r="A5" s="8" t="s">
        <v>54</v>
      </c>
      <c r="B5" s="1"/>
      <c r="C5" s="1"/>
      <c r="D5" s="1"/>
      <c r="E5" s="1"/>
      <c r="F5" s="1"/>
      <c r="G5" s="1"/>
      <c r="H5" s="1"/>
      <c r="I5" s="1"/>
    </row>
    <row r="6" spans="1:9" x14ac:dyDescent="0.2">
      <c r="A6" s="4" t="s">
        <v>55</v>
      </c>
      <c r="B6" s="4"/>
      <c r="C6" s="25">
        <v>29508</v>
      </c>
      <c r="D6" s="25">
        <v>33410</v>
      </c>
      <c r="E6" s="25">
        <v>39777</v>
      </c>
      <c r="F6" s="16">
        <f>Model!F30/365*F7</f>
        <v>41403.572848219177</v>
      </c>
      <c r="G6" s="16">
        <f>Model!G30/365*G7</f>
        <v>44098.945440638243</v>
      </c>
      <c r="H6" s="16">
        <f>Model!H30/365*H7</f>
        <v>46303.892712670153</v>
      </c>
      <c r="I6" s="16">
        <f>Model!I30/365*I7</f>
        <v>48156.048421176965</v>
      </c>
    </row>
    <row r="7" spans="1:9" x14ac:dyDescent="0.2">
      <c r="A7" s="4" t="s">
        <v>25</v>
      </c>
      <c r="B7" s="4" t="s">
        <v>26</v>
      </c>
      <c r="C7" s="18">
        <f>C6/Model!C30*365</f>
        <v>28.100290906244702</v>
      </c>
      <c r="D7" s="18">
        <f>D6/Model!D30*365</f>
        <v>31.185571624023428</v>
      </c>
      <c r="E7" s="18">
        <f>E6/Model!E30*365</f>
        <v>34.886990852098108</v>
      </c>
      <c r="F7" s="18">
        <f>Model!F16</f>
        <v>32</v>
      </c>
      <c r="G7" s="18">
        <f>Model!G16</f>
        <v>32</v>
      </c>
      <c r="H7" s="18">
        <f>Model!H16</f>
        <v>32</v>
      </c>
      <c r="I7" s="18">
        <f>Model!I16</f>
        <v>32</v>
      </c>
    </row>
    <row r="8" spans="1:9" x14ac:dyDescent="0.2">
      <c r="A8" s="4" t="s">
        <v>56</v>
      </c>
      <c r="B8" s="4"/>
      <c r="C8" s="25">
        <v>6331</v>
      </c>
      <c r="D8" s="25">
        <v>7286</v>
      </c>
      <c r="E8" s="25">
        <v>5718</v>
      </c>
      <c r="F8" s="16">
        <f>Model!F32/365*F9</f>
        <v>7543.213428284932</v>
      </c>
      <c r="G8" s="16">
        <f>Model!G32/365*G9</f>
        <v>8034.276622466281</v>
      </c>
      <c r="H8" s="16">
        <f>Model!H32/365*H9</f>
        <v>8435.9904535895948</v>
      </c>
      <c r="I8" s="16">
        <f>Model!I32/365*I9</f>
        <v>8773.4300717331789</v>
      </c>
    </row>
    <row r="9" spans="1:9" x14ac:dyDescent="0.2">
      <c r="A9" s="4" t="s">
        <v>27</v>
      </c>
      <c r="B9" s="4" t="s">
        <v>26</v>
      </c>
      <c r="C9" s="18">
        <f>C8/Model!C32*365</f>
        <v>10.791292490321617</v>
      </c>
      <c r="D9" s="18">
        <f>D8/Model!D32*365</f>
        <v>12.642570548414087</v>
      </c>
      <c r="E9" s="18">
        <f>E8/Model!E32*365</f>
        <v>9.4454652425778427</v>
      </c>
      <c r="F9" s="18">
        <f>Model!F17</f>
        <v>11</v>
      </c>
      <c r="G9" s="18">
        <f>Model!G17</f>
        <v>11</v>
      </c>
      <c r="H9" s="18">
        <f>Model!H17</f>
        <v>11</v>
      </c>
      <c r="I9" s="18">
        <f>Model!I17</f>
        <v>11</v>
      </c>
    </row>
    <row r="10" spans="1:9" x14ac:dyDescent="0.2">
      <c r="A10" s="4" t="s">
        <v>57</v>
      </c>
      <c r="B10" s="4"/>
      <c r="C10" s="25">
        <v>62611</v>
      </c>
      <c r="D10" s="25">
        <v>68960</v>
      </c>
      <c r="E10" s="25">
        <v>69860</v>
      </c>
      <c r="F10" s="16">
        <f>Model!F32/365*F11</f>
        <v>78860.867659342475</v>
      </c>
      <c r="G10" s="16">
        <f>Model!G32/365*G11</f>
        <v>83994.710143965669</v>
      </c>
      <c r="H10" s="16">
        <f>Model!H32/365*H11</f>
        <v>88194.445651163944</v>
      </c>
      <c r="I10" s="16">
        <f>Model!I32/365*I11</f>
        <v>91722.2234772105</v>
      </c>
    </row>
    <row r="11" spans="1:9" x14ac:dyDescent="0.2">
      <c r="A11" s="4" t="s">
        <v>28</v>
      </c>
      <c r="B11" s="4" t="s">
        <v>26</v>
      </c>
      <c r="C11" s="18">
        <f>C10/Model!C32*365</f>
        <v>106.72146803214764</v>
      </c>
      <c r="D11" s="18">
        <f>D10/Model!D32*365</f>
        <v>119.65847721913744</v>
      </c>
      <c r="E11" s="18">
        <f>E10/Model!E32*365</f>
        <v>115.40052498189718</v>
      </c>
      <c r="F11" s="18">
        <f>Model!F18</f>
        <v>115</v>
      </c>
      <c r="G11" s="18">
        <f>Model!G18</f>
        <v>115</v>
      </c>
      <c r="H11" s="18">
        <f>Model!H18</f>
        <v>115</v>
      </c>
      <c r="I11" s="18">
        <f>Model!I18</f>
        <v>115</v>
      </c>
    </row>
    <row r="12" spans="1:9" x14ac:dyDescent="0.2">
      <c r="A12" s="4" t="s">
        <v>58</v>
      </c>
      <c r="B12" s="4"/>
      <c r="C12" s="25">
        <v>31477</v>
      </c>
      <c r="D12" s="25">
        <v>32833</v>
      </c>
      <c r="E12" s="25">
        <v>33180</v>
      </c>
      <c r="F12" s="16">
        <f>Model!F30*Model!F19</f>
        <v>37780.760224000005</v>
      </c>
      <c r="G12" s="16">
        <f>Model!G30*Model!G19</f>
        <v>40240.287714582395</v>
      </c>
      <c r="H12" s="16">
        <f>Model!H30*Model!H19</f>
        <v>42252.302100311521</v>
      </c>
      <c r="I12" s="16">
        <f>Model!I30*Model!I19</f>
        <v>43942.394184323981</v>
      </c>
    </row>
    <row r="13" spans="1:9" x14ac:dyDescent="0.2">
      <c r="A13" s="4" t="s">
        <v>59</v>
      </c>
      <c r="B13" s="4"/>
      <c r="C13" s="25">
        <v>14695</v>
      </c>
      <c r="D13" s="25">
        <v>14287</v>
      </c>
      <c r="E13" s="25">
        <v>14585</v>
      </c>
      <c r="F13" s="16">
        <f>Model!F30*Model!F20</f>
        <v>16529.082598000001</v>
      </c>
      <c r="G13" s="16">
        <f>Model!G30*Model!G20</f>
        <v>17605.125875129801</v>
      </c>
      <c r="H13" s="16">
        <f>Model!H30*Model!H20</f>
        <v>18485.382168886292</v>
      </c>
      <c r="I13" s="16">
        <f>Model!I30*Model!I20</f>
        <v>19224.797455641743</v>
      </c>
    </row>
    <row r="14" spans="1:9" x14ac:dyDescent="0.2">
      <c r="A14" s="4" t="s">
        <v>60</v>
      </c>
      <c r="B14" s="4"/>
      <c r="C14" s="25">
        <v>58829</v>
      </c>
      <c r="D14" s="25">
        <v>78304</v>
      </c>
      <c r="E14" s="25">
        <v>66387</v>
      </c>
      <c r="F14" s="16">
        <f>Model!F30*Model!F21</f>
        <v>75561.52044800001</v>
      </c>
      <c r="G14" s="16">
        <f>Model!G30*Model!G21</f>
        <v>80480.57542916479</v>
      </c>
      <c r="H14" s="16">
        <f>Model!H30*Model!H21</f>
        <v>84504.604200623042</v>
      </c>
      <c r="I14" s="16">
        <f>Model!I30*Model!I21</f>
        <v>87884.788368647962</v>
      </c>
    </row>
    <row r="15" spans="1:9" x14ac:dyDescent="0.2">
      <c r="A15" s="4" t="s">
        <v>61</v>
      </c>
      <c r="B15" s="4"/>
      <c r="C15" s="25">
        <v>8061</v>
      </c>
      <c r="D15" s="25">
        <v>8249</v>
      </c>
      <c r="E15" s="25">
        <v>9055</v>
      </c>
      <c r="F15" s="16">
        <f>Model!F30*Model!F22</f>
        <v>10389.7090616</v>
      </c>
      <c r="G15" s="16">
        <f>Model!G30*Model!G22</f>
        <v>11066.079121510158</v>
      </c>
      <c r="H15" s="16">
        <f>Model!H30*Model!H22</f>
        <v>11619.383077585666</v>
      </c>
      <c r="I15" s="16">
        <f>Model!I30*Model!I22</f>
        <v>12084.158400689093</v>
      </c>
    </row>
    <row r="17" spans="1:9" x14ac:dyDescent="0.2">
      <c r="A17" s="8" t="s">
        <v>62</v>
      </c>
      <c r="B17" s="1"/>
      <c r="C17" s="1"/>
      <c r="D17" s="1"/>
      <c r="E17" s="1"/>
      <c r="F17" s="1"/>
      <c r="G17" s="1"/>
      <c r="H17" s="1"/>
      <c r="I17" s="1"/>
    </row>
    <row r="18" spans="1:9" x14ac:dyDescent="0.2">
      <c r="A18" s="4" t="s">
        <v>63</v>
      </c>
      <c r="B18" s="4"/>
      <c r="C18" s="16"/>
      <c r="D18" s="16">
        <f>C22</f>
        <v>43715</v>
      </c>
      <c r="E18" s="16">
        <f>D22</f>
        <v>45680</v>
      </c>
      <c r="F18" s="16">
        <f>E22</f>
        <v>49834</v>
      </c>
      <c r="G18" s="16">
        <f>F22</f>
        <v>27194.434915999998</v>
      </c>
      <c r="H18" s="16">
        <f>G22</f>
        <v>7481.2730873115988</v>
      </c>
      <c r="I18" s="16">
        <f>H22</f>
        <v>-9635.1566251481927</v>
      </c>
    </row>
    <row r="19" spans="1:9" x14ac:dyDescent="0.2">
      <c r="A19" s="4" t="s">
        <v>64</v>
      </c>
      <c r="B19" s="4"/>
      <c r="C19" s="25">
        <v>-10959</v>
      </c>
      <c r="D19" s="25">
        <v>-9447</v>
      </c>
      <c r="E19" s="25">
        <v>-12715</v>
      </c>
      <c r="F19" s="16">
        <f>-Model!F30*Model!F15</f>
        <v>-14167.785083999999</v>
      </c>
      <c r="G19" s="16">
        <f>-Model!G30*Model!G15</f>
        <v>-15090.107892968399</v>
      </c>
      <c r="H19" s="16">
        <f>-Model!H30*Model!H15</f>
        <v>-15844.613287616819</v>
      </c>
      <c r="I19" s="16">
        <f>-Model!I30*Model!I15</f>
        <v>-16478.397819121492</v>
      </c>
    </row>
    <row r="20" spans="1:9" x14ac:dyDescent="0.2">
      <c r="A20" s="4" t="s">
        <v>65</v>
      </c>
      <c r="B20" s="4"/>
      <c r="C20" s="25">
        <v>-8500</v>
      </c>
      <c r="D20" s="25">
        <v>-8200</v>
      </c>
      <c r="E20" s="25">
        <v>-8000</v>
      </c>
      <c r="F20" s="16">
        <f>-F18*Model!F13</f>
        <v>-8471.7800000000007</v>
      </c>
      <c r="G20" s="16">
        <f>-G18*Model!G13</f>
        <v>-4623.0539357200005</v>
      </c>
      <c r="H20" s="16">
        <f>-H18*Model!H13</f>
        <v>-1271.8164248429719</v>
      </c>
      <c r="I20" s="16">
        <f>-I18*Model!I13</f>
        <v>1637.976626275193</v>
      </c>
    </row>
    <row r="21" spans="1:9" x14ac:dyDescent="0.2">
      <c r="A21" s="4" t="s">
        <v>66</v>
      </c>
      <c r="B21" s="4"/>
      <c r="C21" s="16"/>
      <c r="D21" s="16">
        <f>D22-(D18+D19+D20)</f>
        <v>19612</v>
      </c>
      <c r="E21" s="16">
        <f>E22-(E18+E19+E20)</f>
        <v>24869</v>
      </c>
      <c r="F21" s="25">
        <v>0</v>
      </c>
      <c r="G21" s="25">
        <v>0</v>
      </c>
      <c r="H21" s="25">
        <v>0</v>
      </c>
      <c r="I21" s="25">
        <v>0</v>
      </c>
    </row>
    <row r="22" spans="1:9" x14ac:dyDescent="0.2">
      <c r="A22" s="4" t="s">
        <v>67</v>
      </c>
      <c r="B22" s="4"/>
      <c r="C22" s="25">
        <v>43715</v>
      </c>
      <c r="D22" s="25">
        <v>45680</v>
      </c>
      <c r="E22" s="25">
        <v>49834</v>
      </c>
      <c r="F22" s="16">
        <f>F18+F19+F20+F21</f>
        <v>27194.434915999998</v>
      </c>
      <c r="G22" s="16">
        <f>G18+G19+G20+G21</f>
        <v>7481.2730873115988</v>
      </c>
      <c r="H22" s="16">
        <f>H18+H19+H20+H21</f>
        <v>-9635.1566251481927</v>
      </c>
      <c r="I22" s="16">
        <f>I18+I19+I20+I21</f>
        <v>-24475.57781799449</v>
      </c>
    </row>
    <row r="24" spans="1:9" x14ac:dyDescent="0.2">
      <c r="A24" s="8" t="s">
        <v>68</v>
      </c>
      <c r="B24" s="1"/>
      <c r="C24" s="1"/>
      <c r="D24" s="1"/>
      <c r="E24" s="1"/>
      <c r="F24" s="1"/>
      <c r="G24" s="1"/>
      <c r="H24" s="1"/>
      <c r="I24" s="1"/>
    </row>
    <row r="25" spans="1:9" x14ac:dyDescent="0.2">
      <c r="A25" s="4" t="s">
        <v>69</v>
      </c>
      <c r="B25" s="4"/>
      <c r="C25" s="16"/>
      <c r="D25" s="16">
        <f>C31</f>
        <v>62146</v>
      </c>
      <c r="E25" s="16">
        <f>D31</f>
        <v>56950</v>
      </c>
      <c r="F25" s="16">
        <f>E31</f>
        <v>73733</v>
      </c>
      <c r="G25" s="16">
        <f>F31</f>
        <v>67352.858599212021</v>
      </c>
      <c r="H25" s="16">
        <f>G31</f>
        <v>67958.619292679301</v>
      </c>
      <c r="I25" s="16">
        <f>H31</f>
        <v>72013.55735448873</v>
      </c>
    </row>
    <row r="26" spans="1:9" x14ac:dyDescent="0.2">
      <c r="A26" s="4" t="s">
        <v>51</v>
      </c>
      <c r="B26" s="4"/>
      <c r="C26" s="16">
        <f>Model!C43</f>
        <v>96995</v>
      </c>
      <c r="D26" s="16">
        <f>Model!D43</f>
        <v>93736</v>
      </c>
      <c r="E26" s="16">
        <f>Model!E43</f>
        <v>112010</v>
      </c>
      <c r="F26" s="16">
        <f>Model!F43</f>
        <v>126976.412517836</v>
      </c>
      <c r="G26" s="16">
        <f>Model!G43</f>
        <v>135242.57697274711</v>
      </c>
      <c r="H26" s="16">
        <f>Model!H43</f>
        <v>142004.70582138447</v>
      </c>
      <c r="I26" s="16">
        <f>Model!I43</f>
        <v>147684.89405423985</v>
      </c>
    </row>
    <row r="27" spans="1:9" x14ac:dyDescent="0.2">
      <c r="A27" s="4" t="s">
        <v>70</v>
      </c>
      <c r="B27" s="4"/>
      <c r="C27" s="25">
        <v>10833</v>
      </c>
      <c r="D27" s="25">
        <v>11688</v>
      </c>
      <c r="E27" s="25">
        <v>12863</v>
      </c>
      <c r="F27" s="16">
        <f>Model!F30*Model!F27</f>
        <v>14167.785083999999</v>
      </c>
      <c r="G27" s="16">
        <f>Model!G30*Model!G27</f>
        <v>15090.107892968399</v>
      </c>
      <c r="H27" s="16">
        <f>Model!H30*Model!H27</f>
        <v>15844.613287616819</v>
      </c>
      <c r="I27" s="16">
        <f>Model!I30*Model!I27</f>
        <v>16478.397819121492</v>
      </c>
    </row>
    <row r="28" spans="1:9" x14ac:dyDescent="0.2">
      <c r="A28" s="4" t="s">
        <v>71</v>
      </c>
      <c r="B28" s="4"/>
      <c r="C28" s="25">
        <v>0</v>
      </c>
      <c r="D28" s="16">
        <f>D31-(D25+D26+D27+D29+D30)</f>
        <v>-437</v>
      </c>
      <c r="E28" s="16">
        <f>E31-(E25+E26+E27+E29+E30)</f>
        <v>-1958</v>
      </c>
      <c r="F28" s="25">
        <v>0</v>
      </c>
      <c r="G28" s="25">
        <v>0</v>
      </c>
      <c r="H28" s="25">
        <v>0</v>
      </c>
      <c r="I28" s="25">
        <v>0</v>
      </c>
    </row>
    <row r="29" spans="1:9" x14ac:dyDescent="0.2">
      <c r="A29" s="4" t="s">
        <v>72</v>
      </c>
      <c r="B29" s="4"/>
      <c r="C29" s="16">
        <f>Model!C96</f>
        <v>-15025</v>
      </c>
      <c r="D29" s="16">
        <f>Model!D96</f>
        <v>-15234</v>
      </c>
      <c r="E29" s="16">
        <f>Model!E96</f>
        <v>-15421</v>
      </c>
      <c r="F29" s="16">
        <f>Model!F96</f>
        <v>-17776.697752497043</v>
      </c>
      <c r="G29" s="16">
        <f>Model!G96</f>
        <v>-18933.960776184598</v>
      </c>
      <c r="H29" s="16">
        <f>Model!H96</f>
        <v>-19880.658814993829</v>
      </c>
      <c r="I29" s="16">
        <f>Model!I96</f>
        <v>-20675.88516759358</v>
      </c>
    </row>
    <row r="30" spans="1:9" x14ac:dyDescent="0.2">
      <c r="A30" s="4" t="s">
        <v>73</v>
      </c>
      <c r="B30" s="4"/>
      <c r="C30" s="16">
        <f>Model!C97</f>
        <v>-77550</v>
      </c>
      <c r="D30" s="16">
        <f>Model!D97</f>
        <v>-94949</v>
      </c>
      <c r="E30" s="16">
        <f>Model!E97</f>
        <v>-90711</v>
      </c>
      <c r="F30" s="16">
        <f>Model!F97</f>
        <v>-129747.64125012694</v>
      </c>
      <c r="G30" s="16">
        <f>Model!G97</f>
        <v>-130792.96339606363</v>
      </c>
      <c r="H30" s="16">
        <f>Model!H97</f>
        <v>-133913.72223219802</v>
      </c>
      <c r="I30" s="16">
        <f>Model!I97</f>
        <v>-136468.31065959795</v>
      </c>
    </row>
    <row r="31" spans="1:9" x14ac:dyDescent="0.2">
      <c r="A31" s="4" t="s">
        <v>74</v>
      </c>
      <c r="B31" s="4"/>
      <c r="C31" s="25">
        <v>62146</v>
      </c>
      <c r="D31" s="25">
        <v>56950</v>
      </c>
      <c r="E31" s="25">
        <v>73733</v>
      </c>
      <c r="F31" s="16">
        <f>F25+F26+F27+F28+F29+F30</f>
        <v>67352.858599212021</v>
      </c>
      <c r="G31" s="16">
        <f>G25+G26+G27+G28+G29+G30</f>
        <v>67958.619292679301</v>
      </c>
      <c r="H31" s="16">
        <f>H25+H26+H27+H28+H29+H30</f>
        <v>72013.55735448873</v>
      </c>
      <c r="I31" s="16">
        <f>I25+I26+I27+I28+I29+I30</f>
        <v>79032.653400658543</v>
      </c>
    </row>
  </sheetData>
  <mergeCells count="4">
    <mergeCell ref="A1:H1"/>
    <mergeCell ref="A5:I5"/>
    <mergeCell ref="A17:I17"/>
    <mergeCell ref="A24:I2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EE69F8-497A-4B28-83BF-2C5577992558}">
  <dimension ref="A1:D8"/>
  <sheetViews>
    <sheetView workbookViewId="0">
      <selection sqref="A1:D1"/>
    </sheetView>
  </sheetViews>
  <sheetFormatPr defaultRowHeight="12.75" x14ac:dyDescent="0.2"/>
  <sheetData>
    <row r="1" spans="1:4" ht="20.25" x14ac:dyDescent="0.3">
      <c r="A1" s="11" t="s">
        <v>15</v>
      </c>
      <c r="B1" s="1"/>
      <c r="C1" s="1"/>
      <c r="D1" s="1"/>
    </row>
    <row r="3" spans="1:4" x14ac:dyDescent="0.2">
      <c r="A3" s="5" t="s">
        <v>105</v>
      </c>
      <c r="B3" s="5" t="s">
        <v>106</v>
      </c>
      <c r="C3" s="5" t="s">
        <v>107</v>
      </c>
      <c r="D3" s="5" t="s">
        <v>108</v>
      </c>
    </row>
    <row r="4" spans="1:4" x14ac:dyDescent="0.2">
      <c r="A4" t="s">
        <v>109</v>
      </c>
      <c r="B4" t="s">
        <v>110</v>
      </c>
      <c r="C4" t="s">
        <v>122</v>
      </c>
      <c r="D4" t="s">
        <v>117</v>
      </c>
    </row>
    <row r="5" spans="1:4" x14ac:dyDescent="0.2">
      <c r="A5" t="s">
        <v>111</v>
      </c>
      <c r="B5" t="s">
        <v>112</v>
      </c>
      <c r="C5" t="s">
        <v>123</v>
      </c>
      <c r="D5" t="s">
        <v>118</v>
      </c>
    </row>
    <row r="6" spans="1:4" x14ac:dyDescent="0.2">
      <c r="A6" t="s">
        <v>109</v>
      </c>
      <c r="B6" t="s">
        <v>113</v>
      </c>
      <c r="C6" t="s">
        <v>124</v>
      </c>
      <c r="D6" t="s">
        <v>119</v>
      </c>
    </row>
    <row r="7" spans="1:4" x14ac:dyDescent="0.2">
      <c r="A7" t="s">
        <v>114</v>
      </c>
      <c r="B7" t="s">
        <v>115</v>
      </c>
      <c r="C7" t="s">
        <v>125</v>
      </c>
      <c r="D7" t="s">
        <v>120</v>
      </c>
    </row>
    <row r="8" spans="1:4" x14ac:dyDescent="0.2">
      <c r="A8" t="s">
        <v>114</v>
      </c>
      <c r="B8" t="s">
        <v>116</v>
      </c>
      <c r="C8" t="s">
        <v>126</v>
      </c>
      <c r="D8" t="s">
        <v>121</v>
      </c>
    </row>
  </sheetData>
  <mergeCells count="1">
    <mergeCell ref="A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Model</vt:lpstr>
      <vt:lpstr>Schedules</vt:lpstr>
      <vt:lpstr>Sources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Wall Street Prep</dc:creator>
  <cp:lastModifiedBy>Wall Street Prep</cp:lastModifiedBy>
  <dcterms:created xsi:type="dcterms:W3CDTF">2026-02-06T15:10:35Z</dcterms:created>
  <dcterms:modified xsi:type="dcterms:W3CDTF">2026-02-11T13:22:48Z</dcterms:modified>
</cp:coreProperties>
</file>